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794"/>
  </bookViews>
  <sheets>
    <sheet name="Mode_d_emploi" sheetId="64" r:id="rId1"/>
    <sheet name="Simulation" sheetId="30" r:id="rId2"/>
    <sheet name="Résultats" sheetId="52" r:id="rId3"/>
    <sheet name="Salaires" sheetId="49" state="hidden" r:id="rId4"/>
    <sheet name="Cot_droits" sheetId="14" state="hidden" r:id="rId5"/>
    <sheet name="Retraite" sheetId="33" state="hidden" r:id="rId6"/>
    <sheet name="TRI_prix" sheetId="28" state="hidden" r:id="rId7"/>
    <sheet name="TRI_smpt" sheetId="53" state="hidden" r:id="rId8"/>
    <sheet name="TRecup_prix" sheetId="41" state="hidden" r:id="rId9"/>
    <sheet name="TRecup_smpt" sheetId="43" state="hidden" r:id="rId10"/>
    <sheet name="Coef_AA" sheetId="38" state="hidden" r:id="rId11"/>
    <sheet name="Info_cas_type" sheetId="27" state="hidden" r:id="rId12"/>
    <sheet name="Barèmes" sheetId="12" state="hidden" r:id="rId13"/>
    <sheet name="EV" sheetId="31" state="hidden" r:id="rId14"/>
    <sheet name="Décote_RC" sheetId="32" state="hidden" r:id="rId15"/>
    <sheet name="Revalo_RB" sheetId="54" state="hidden" r:id="rId16"/>
    <sheet name="Minima" sheetId="55" state="hidden" r:id="rId17"/>
    <sheet name="Sal_valid" sheetId="57" state="hidden" r:id="rId18"/>
    <sheet name="Smic_AVPF" sheetId="58" state="hidden" r:id="rId19"/>
    <sheet name="AGIRC-ARRCO" sheetId="59" state="hidden" r:id="rId20"/>
    <sheet name="SMPT" sheetId="60" state="hidden" r:id="rId21"/>
    <sheet name="SMIC" sheetId="61" state="hidden" r:id="rId22"/>
    <sheet name="PSS" sheetId="62" state="hidden" r:id="rId23"/>
    <sheet name="Prix" sheetId="63" state="hidden" r:id="rId24"/>
  </sheets>
  <calcPr calcId="162913"/>
</workbook>
</file>

<file path=xl/calcChain.xml><?xml version="1.0" encoding="utf-8"?>
<calcChain xmlns="http://schemas.openxmlformats.org/spreadsheetml/2006/main">
  <c r="U71" i="12" l="1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U115" i="12"/>
  <c r="U116" i="12"/>
  <c r="U117" i="12"/>
  <c r="U118" i="12"/>
  <c r="U119" i="12" s="1"/>
  <c r="U120" i="12" s="1"/>
  <c r="U121" i="12" s="1"/>
  <c r="U122" i="12" s="1"/>
  <c r="U123" i="12" s="1"/>
  <c r="U124" i="12" s="1"/>
  <c r="U125" i="12" s="1"/>
  <c r="U126" i="12" s="1"/>
  <c r="U127" i="12" s="1"/>
  <c r="U128" i="12" s="1"/>
  <c r="U129" i="12" s="1"/>
  <c r="U130" i="12" s="1"/>
  <c r="U131" i="12" s="1"/>
  <c r="U132" i="12" s="1"/>
  <c r="U133" i="12" s="1"/>
  <c r="U134" i="12" s="1"/>
  <c r="U135" i="12" s="1"/>
  <c r="U136" i="12" s="1"/>
  <c r="U137" i="12" s="1"/>
  <c r="U138" i="12" s="1"/>
  <c r="U139" i="12" s="1"/>
  <c r="U140" i="12" s="1"/>
  <c r="U141" i="12" s="1"/>
  <c r="U142" i="12" s="1"/>
  <c r="U143" i="12" s="1"/>
  <c r="U144" i="12" s="1"/>
  <c r="U145" i="12" s="1"/>
  <c r="U146" i="12" s="1"/>
  <c r="U147" i="12" s="1"/>
  <c r="U148" i="12" s="1"/>
  <c r="U70" i="12"/>
  <c r="G5" i="14" l="1"/>
  <c r="AA66" i="14"/>
  <c r="AA67" i="14"/>
  <c r="AA17" i="14"/>
  <c r="CK68" i="12" l="1"/>
  <c r="CK69" i="12"/>
  <c r="CK70" i="12" s="1"/>
  <c r="CK71" i="12" s="1"/>
  <c r="CK72" i="12" s="1"/>
  <c r="CK73" i="12" s="1"/>
  <c r="CK74" i="12" s="1"/>
  <c r="CK75" i="12" s="1"/>
  <c r="CK76" i="12" s="1"/>
  <c r="CK77" i="12" s="1"/>
  <c r="CK78" i="12" s="1"/>
  <c r="CK79" i="12" s="1"/>
  <c r="CK80" i="12" s="1"/>
  <c r="CK81" i="12" s="1"/>
  <c r="CK82" i="12" s="1"/>
  <c r="CK83" i="12" s="1"/>
  <c r="CK84" i="12" s="1"/>
  <c r="CK85" i="12" s="1"/>
  <c r="CK86" i="12" s="1"/>
  <c r="CK87" i="12" s="1"/>
  <c r="CK88" i="12" s="1"/>
  <c r="CK89" i="12" s="1"/>
  <c r="CK90" i="12" s="1"/>
  <c r="CK91" i="12" s="1"/>
  <c r="CK92" i="12" s="1"/>
  <c r="CK93" i="12" s="1"/>
  <c r="CK94" i="12" s="1"/>
  <c r="CK95" i="12" s="1"/>
  <c r="CK96" i="12" s="1"/>
  <c r="CK97" i="12" s="1"/>
  <c r="CK98" i="12" s="1"/>
  <c r="CK99" i="12" s="1"/>
  <c r="CK100" i="12" s="1"/>
  <c r="CK101" i="12" s="1"/>
  <c r="CK102" i="12" s="1"/>
  <c r="CK103" i="12" s="1"/>
  <c r="CK104" i="12" s="1"/>
  <c r="CK105" i="12" s="1"/>
  <c r="CK106" i="12" s="1"/>
  <c r="CK107" i="12" s="1"/>
  <c r="CK108" i="12" s="1"/>
  <c r="CK109" i="12" s="1"/>
  <c r="CK110" i="12" s="1"/>
  <c r="CK111" i="12" s="1"/>
  <c r="CK112" i="12" s="1"/>
  <c r="CK113" i="12" s="1"/>
  <c r="CK114" i="12" s="1"/>
  <c r="CK115" i="12" s="1"/>
  <c r="CK116" i="12" s="1"/>
  <c r="CK117" i="12" s="1"/>
  <c r="CK118" i="12" s="1"/>
  <c r="CK119" i="12" s="1"/>
  <c r="CK120" i="12" s="1"/>
  <c r="CK121" i="12" s="1"/>
  <c r="CK122" i="12" s="1"/>
  <c r="CK123" i="12" s="1"/>
  <c r="CK124" i="12" s="1"/>
  <c r="CK125" i="12" s="1"/>
  <c r="CK126" i="12" s="1"/>
  <c r="CK127" i="12" s="1"/>
  <c r="CK128" i="12" s="1"/>
  <c r="CK129" i="12" s="1"/>
  <c r="CK130" i="12" s="1"/>
  <c r="CK131" i="12" s="1"/>
  <c r="CK132" i="12" s="1"/>
  <c r="CK133" i="12" s="1"/>
  <c r="CK134" i="12" s="1"/>
  <c r="CK135" i="12" s="1"/>
  <c r="CK136" i="12" s="1"/>
  <c r="CK137" i="12" s="1"/>
  <c r="CK138" i="12" s="1"/>
  <c r="CK139" i="12" s="1"/>
  <c r="CK140" i="12" s="1"/>
  <c r="CK141" i="12" s="1"/>
  <c r="CK142" i="12" s="1"/>
  <c r="CK143" i="12" s="1"/>
  <c r="CK144" i="12" s="1"/>
  <c r="CK145" i="12" s="1"/>
  <c r="CK146" i="12" s="1"/>
  <c r="CK147" i="12" s="1"/>
  <c r="CK148" i="12" s="1"/>
  <c r="CK67" i="12"/>
  <c r="CJ44" i="12"/>
  <c r="CB44" i="12"/>
  <c r="CD66" i="12"/>
  <c r="CB66" i="12"/>
  <c r="CA66" i="12"/>
  <c r="CD65" i="12"/>
  <c r="CB65" i="12"/>
  <c r="CA65" i="12"/>
  <c r="CD64" i="12"/>
  <c r="CB64" i="12"/>
  <c r="CA64" i="12"/>
  <c r="CD63" i="12"/>
  <c r="CB63" i="12"/>
  <c r="CA63" i="12"/>
  <c r="CD62" i="12"/>
  <c r="CB62" i="12"/>
  <c r="CA62" i="12"/>
  <c r="CD61" i="12"/>
  <c r="CB61" i="12"/>
  <c r="CA61" i="12"/>
  <c r="CD60" i="12"/>
  <c r="CB60" i="12"/>
  <c r="CA60" i="12"/>
  <c r="CD59" i="12"/>
  <c r="CB59" i="12"/>
  <c r="CA59" i="12"/>
  <c r="CD58" i="12"/>
  <c r="CB58" i="12"/>
  <c r="CA58" i="12"/>
  <c r="CD57" i="12"/>
  <c r="CB57" i="12"/>
  <c r="CA57" i="12"/>
  <c r="CD56" i="12"/>
  <c r="CB56" i="12"/>
  <c r="CA56" i="12"/>
  <c r="CD55" i="12"/>
  <c r="CB55" i="12"/>
  <c r="CA55" i="12"/>
  <c r="CD54" i="12"/>
  <c r="CB54" i="12"/>
  <c r="CA54" i="12"/>
  <c r="CD53" i="12"/>
  <c r="CB53" i="12"/>
  <c r="CA53" i="12"/>
  <c r="CD52" i="12"/>
  <c r="CB52" i="12"/>
  <c r="CA52" i="12"/>
  <c r="CD51" i="12"/>
  <c r="CB51" i="12"/>
  <c r="CA51" i="12"/>
  <c r="CD50" i="12"/>
  <c r="CB50" i="12"/>
  <c r="CA50" i="12"/>
  <c r="CD49" i="12"/>
  <c r="CB49" i="12"/>
  <c r="CA49" i="12"/>
  <c r="CD48" i="12"/>
  <c r="CB48" i="12"/>
  <c r="CA48" i="12"/>
  <c r="CD47" i="12"/>
  <c r="CB47" i="12"/>
  <c r="CA47" i="12"/>
  <c r="CD46" i="12"/>
  <c r="CB46" i="12"/>
  <c r="CA46" i="12"/>
  <c r="CD45" i="12"/>
  <c r="CB45" i="12"/>
  <c r="CA45" i="12"/>
  <c r="CD44" i="12"/>
  <c r="CA44" i="12"/>
  <c r="CD43" i="12"/>
  <c r="CA43" i="12"/>
  <c r="CD42" i="12"/>
  <c r="CA42" i="12"/>
  <c r="CD41" i="12"/>
  <c r="CA41" i="12"/>
  <c r="CD40" i="12"/>
  <c r="CA40" i="12"/>
  <c r="CD39" i="12"/>
  <c r="CA39" i="12"/>
  <c r="CB67" i="12"/>
  <c r="CC67" i="12"/>
  <c r="CD67" i="12"/>
  <c r="CA67" i="12"/>
  <c r="BI63" i="12" l="1"/>
  <c r="BI64" i="12" s="1"/>
  <c r="BI65" i="12" s="1"/>
  <c r="BI66" i="12" s="1"/>
  <c r="BH65" i="12"/>
  <c r="BH66" i="12" s="1"/>
  <c r="AY71" i="12"/>
  <c r="AZ71" i="12"/>
  <c r="AY72" i="12"/>
  <c r="AY73" i="12" s="1"/>
  <c r="AY74" i="12" s="1"/>
  <c r="AY75" i="12" s="1"/>
  <c r="AY76" i="12" s="1"/>
  <c r="AY77" i="12" s="1"/>
  <c r="AY78" i="12" s="1"/>
  <c r="AY79" i="12" s="1"/>
  <c r="AY80" i="12" s="1"/>
  <c r="AY81" i="12" s="1"/>
  <c r="AY82" i="12" s="1"/>
  <c r="AY83" i="12" s="1"/>
  <c r="AY84" i="12" s="1"/>
  <c r="AY85" i="12" s="1"/>
  <c r="AY86" i="12" s="1"/>
  <c r="AY87" i="12" s="1"/>
  <c r="AY88" i="12" s="1"/>
  <c r="AY89" i="12" s="1"/>
  <c r="AY90" i="12" s="1"/>
  <c r="AY91" i="12" s="1"/>
  <c r="AY92" i="12" s="1"/>
  <c r="AY93" i="12" s="1"/>
  <c r="AY94" i="12" s="1"/>
  <c r="AY95" i="12" s="1"/>
  <c r="AY96" i="12" s="1"/>
  <c r="AY97" i="12" s="1"/>
  <c r="AY98" i="12" s="1"/>
  <c r="AY99" i="12" s="1"/>
  <c r="AY100" i="12" s="1"/>
  <c r="AY101" i="12" s="1"/>
  <c r="AY102" i="12" s="1"/>
  <c r="AY103" i="12" s="1"/>
  <c r="AY104" i="12" s="1"/>
  <c r="AY105" i="12" s="1"/>
  <c r="AY106" i="12" s="1"/>
  <c r="AY107" i="12" s="1"/>
  <c r="AY108" i="12" s="1"/>
  <c r="AY109" i="12" s="1"/>
  <c r="AY110" i="12" s="1"/>
  <c r="AY111" i="12" s="1"/>
  <c r="AY112" i="12" s="1"/>
  <c r="AY113" i="12" s="1"/>
  <c r="AY114" i="12" s="1"/>
  <c r="AY115" i="12" s="1"/>
  <c r="AY116" i="12" s="1"/>
  <c r="AY117" i="12" s="1"/>
  <c r="AY118" i="12" s="1"/>
  <c r="AY119" i="12" s="1"/>
  <c r="AY120" i="12" s="1"/>
  <c r="AY121" i="12" s="1"/>
  <c r="AY122" i="12" s="1"/>
  <c r="AY123" i="12" s="1"/>
  <c r="AY124" i="12" s="1"/>
  <c r="AY125" i="12" s="1"/>
  <c r="AY126" i="12" s="1"/>
  <c r="AY127" i="12" s="1"/>
  <c r="AY128" i="12" s="1"/>
  <c r="AY129" i="12" s="1"/>
  <c r="AY130" i="12" s="1"/>
  <c r="AY131" i="12" s="1"/>
  <c r="AY132" i="12" s="1"/>
  <c r="AY133" i="12" s="1"/>
  <c r="AY134" i="12" s="1"/>
  <c r="AY135" i="12" s="1"/>
  <c r="AY136" i="12" s="1"/>
  <c r="AY137" i="12" s="1"/>
  <c r="AY138" i="12" s="1"/>
  <c r="AY139" i="12" s="1"/>
  <c r="AY140" i="12" s="1"/>
  <c r="AY141" i="12" s="1"/>
  <c r="AY142" i="12" s="1"/>
  <c r="AY143" i="12" s="1"/>
  <c r="AY144" i="12" s="1"/>
  <c r="AY145" i="12" s="1"/>
  <c r="AY146" i="12" s="1"/>
  <c r="AY147" i="12" s="1"/>
  <c r="AY148" i="12" s="1"/>
  <c r="AZ72" i="12"/>
  <c r="AZ73" i="12" s="1"/>
  <c r="AZ74" i="12" s="1"/>
  <c r="AZ75" i="12" s="1"/>
  <c r="AZ76" i="12" s="1"/>
  <c r="AZ77" i="12" s="1"/>
  <c r="AZ78" i="12" s="1"/>
  <c r="AZ79" i="12" s="1"/>
  <c r="AZ80" i="12" s="1"/>
  <c r="AZ81" i="12" s="1"/>
  <c r="AZ82" i="12" s="1"/>
  <c r="AZ83" i="12" s="1"/>
  <c r="AZ84" i="12" s="1"/>
  <c r="AZ85" i="12" s="1"/>
  <c r="AZ86" i="12" s="1"/>
  <c r="AZ87" i="12" s="1"/>
  <c r="AZ88" i="12" s="1"/>
  <c r="AZ89" i="12" s="1"/>
  <c r="AZ90" i="12" s="1"/>
  <c r="AZ91" i="12" s="1"/>
  <c r="AZ92" i="12" s="1"/>
  <c r="AZ93" i="12" s="1"/>
  <c r="AZ94" i="12" s="1"/>
  <c r="AZ95" i="12" s="1"/>
  <c r="AZ96" i="12" s="1"/>
  <c r="AZ97" i="12" s="1"/>
  <c r="AZ98" i="12" s="1"/>
  <c r="AZ99" i="12" s="1"/>
  <c r="AZ100" i="12" s="1"/>
  <c r="AZ101" i="12" s="1"/>
  <c r="AZ102" i="12" s="1"/>
  <c r="AZ103" i="12" s="1"/>
  <c r="AZ104" i="12" s="1"/>
  <c r="AZ105" i="12" s="1"/>
  <c r="AZ106" i="12" s="1"/>
  <c r="AZ107" i="12" s="1"/>
  <c r="AZ108" i="12" s="1"/>
  <c r="AZ109" i="12" s="1"/>
  <c r="AZ110" i="12" s="1"/>
  <c r="AZ111" i="12" s="1"/>
  <c r="AZ112" i="12" s="1"/>
  <c r="AZ113" i="12" s="1"/>
  <c r="AZ114" i="12" s="1"/>
  <c r="AZ115" i="12" s="1"/>
  <c r="AZ116" i="12" s="1"/>
  <c r="AZ117" i="12" s="1"/>
  <c r="AZ118" i="12" s="1"/>
  <c r="AZ119" i="12" s="1"/>
  <c r="AZ120" i="12" s="1"/>
  <c r="AZ121" i="12" s="1"/>
  <c r="AZ122" i="12" s="1"/>
  <c r="AZ123" i="12" s="1"/>
  <c r="AZ124" i="12" s="1"/>
  <c r="AZ125" i="12" s="1"/>
  <c r="AZ126" i="12" s="1"/>
  <c r="AZ127" i="12" s="1"/>
  <c r="AZ128" i="12" s="1"/>
  <c r="AZ129" i="12" s="1"/>
  <c r="AZ130" i="12" s="1"/>
  <c r="AZ131" i="12" s="1"/>
  <c r="AZ132" i="12" s="1"/>
  <c r="AZ133" i="12" s="1"/>
  <c r="AZ134" i="12" s="1"/>
  <c r="AZ135" i="12" s="1"/>
  <c r="AZ136" i="12" s="1"/>
  <c r="AZ137" i="12" s="1"/>
  <c r="AZ138" i="12" s="1"/>
  <c r="AZ139" i="12" s="1"/>
  <c r="AZ140" i="12" s="1"/>
  <c r="AZ141" i="12" s="1"/>
  <c r="AZ142" i="12" s="1"/>
  <c r="AZ143" i="12" s="1"/>
  <c r="AZ144" i="12" s="1"/>
  <c r="AZ145" i="12" s="1"/>
  <c r="AZ146" i="12" s="1"/>
  <c r="AZ147" i="12" s="1"/>
  <c r="AZ148" i="12" s="1"/>
  <c r="AZ70" i="12"/>
  <c r="AY70" i="12"/>
  <c r="AX148" i="12"/>
  <c r="AW148" i="12"/>
  <c r="AX147" i="12"/>
  <c r="AW147" i="12"/>
  <c r="AV147" i="12" s="1"/>
  <c r="AX146" i="12"/>
  <c r="AW146" i="12"/>
  <c r="AX145" i="12"/>
  <c r="AW145" i="12"/>
  <c r="AV145" i="12" s="1"/>
  <c r="AX144" i="12"/>
  <c r="AW144" i="12"/>
  <c r="AX143" i="12"/>
  <c r="AW143" i="12"/>
  <c r="AV143" i="12" s="1"/>
  <c r="AX142" i="12"/>
  <c r="AW142" i="12"/>
  <c r="AX141" i="12"/>
  <c r="AW141" i="12"/>
  <c r="AV141" i="12" s="1"/>
  <c r="AX140" i="12"/>
  <c r="AW140" i="12"/>
  <c r="AX139" i="12"/>
  <c r="AW139" i="12"/>
  <c r="AV139" i="12" s="1"/>
  <c r="AX138" i="12"/>
  <c r="AW138" i="12"/>
  <c r="AX137" i="12"/>
  <c r="AW137" i="12"/>
  <c r="AV137" i="12" s="1"/>
  <c r="AX136" i="12"/>
  <c r="AW136" i="12"/>
  <c r="AX135" i="12"/>
  <c r="AW135" i="12"/>
  <c r="AX134" i="12"/>
  <c r="AW134" i="12"/>
  <c r="AX133" i="12"/>
  <c r="AW133" i="12"/>
  <c r="AX132" i="12"/>
  <c r="AW132" i="12"/>
  <c r="AX131" i="12"/>
  <c r="AW131" i="12"/>
  <c r="AX130" i="12"/>
  <c r="AW130" i="12"/>
  <c r="AX129" i="12"/>
  <c r="AW129" i="12"/>
  <c r="AX128" i="12"/>
  <c r="AW128" i="12"/>
  <c r="AX127" i="12"/>
  <c r="AW127" i="12"/>
  <c r="AX126" i="12"/>
  <c r="AW126" i="12"/>
  <c r="AX125" i="12"/>
  <c r="AW125" i="12"/>
  <c r="AX124" i="12"/>
  <c r="AW124" i="12"/>
  <c r="AX123" i="12"/>
  <c r="AW123" i="12"/>
  <c r="AX122" i="12"/>
  <c r="AW122" i="12"/>
  <c r="AX121" i="12"/>
  <c r="AW121" i="12"/>
  <c r="AV121" i="12" s="1"/>
  <c r="AX120" i="12"/>
  <c r="AW120" i="12"/>
  <c r="AX119" i="12"/>
  <c r="AW119" i="12"/>
  <c r="AX118" i="12"/>
  <c r="AW118" i="12"/>
  <c r="AX117" i="12"/>
  <c r="AW117" i="12"/>
  <c r="AX116" i="12"/>
  <c r="AW116" i="12"/>
  <c r="AX115" i="12"/>
  <c r="AW115" i="12"/>
  <c r="AX114" i="12"/>
  <c r="AW114" i="12"/>
  <c r="AX113" i="12"/>
  <c r="AW113" i="12"/>
  <c r="AX112" i="12"/>
  <c r="AW112" i="12"/>
  <c r="AX111" i="12"/>
  <c r="AW111" i="12"/>
  <c r="AX110" i="12"/>
  <c r="AW110" i="12"/>
  <c r="AX109" i="12"/>
  <c r="AW109" i="12"/>
  <c r="AV109" i="12" s="1"/>
  <c r="AX108" i="12"/>
  <c r="AW108" i="12"/>
  <c r="AX107" i="12"/>
  <c r="AW107" i="12"/>
  <c r="AV107" i="12" s="1"/>
  <c r="AX106" i="12"/>
  <c r="AW106" i="12"/>
  <c r="AX105" i="12"/>
  <c r="AW105" i="12"/>
  <c r="AV105" i="12" s="1"/>
  <c r="AX104" i="12"/>
  <c r="AW104" i="12"/>
  <c r="AX103" i="12"/>
  <c r="AW103" i="12"/>
  <c r="AX102" i="12"/>
  <c r="AW102" i="12"/>
  <c r="AX101" i="12"/>
  <c r="AW101" i="12"/>
  <c r="AX100" i="12"/>
  <c r="AW100" i="12"/>
  <c r="AX99" i="12"/>
  <c r="AW99" i="12"/>
  <c r="AX98" i="12"/>
  <c r="AW98" i="12"/>
  <c r="AX97" i="12"/>
  <c r="AW97" i="12"/>
  <c r="AX96" i="12"/>
  <c r="AW96" i="12"/>
  <c r="AX95" i="12"/>
  <c r="AW95" i="12"/>
  <c r="AX94" i="12"/>
  <c r="AW94" i="12"/>
  <c r="AX93" i="12"/>
  <c r="AW93" i="12"/>
  <c r="AX92" i="12"/>
  <c r="AW92" i="12"/>
  <c r="AX91" i="12"/>
  <c r="AW91" i="12"/>
  <c r="AX90" i="12"/>
  <c r="AW90" i="12"/>
  <c r="AX89" i="12"/>
  <c r="AW89" i="12"/>
  <c r="AX88" i="12"/>
  <c r="AW88" i="12"/>
  <c r="AX87" i="12"/>
  <c r="AW87" i="12"/>
  <c r="AX86" i="12"/>
  <c r="AW86" i="12"/>
  <c r="AX85" i="12"/>
  <c r="AW85" i="12"/>
  <c r="AX84" i="12"/>
  <c r="AW84" i="12"/>
  <c r="AX83" i="12"/>
  <c r="AW83" i="12"/>
  <c r="AX82" i="12"/>
  <c r="AW82" i="12"/>
  <c r="AX81" i="12"/>
  <c r="AW81" i="12"/>
  <c r="AX80" i="12"/>
  <c r="AW80" i="12"/>
  <c r="AX79" i="12"/>
  <c r="AW79" i="12"/>
  <c r="AX78" i="12"/>
  <c r="AW78" i="12"/>
  <c r="AX77" i="12"/>
  <c r="AW77" i="12"/>
  <c r="AX76" i="12"/>
  <c r="AW76" i="12"/>
  <c r="AX75" i="12"/>
  <c r="AW75" i="12"/>
  <c r="AX74" i="12"/>
  <c r="AW74" i="12"/>
  <c r="AX73" i="12"/>
  <c r="AW73" i="12"/>
  <c r="AX72" i="12"/>
  <c r="AW72" i="12"/>
  <c r="AX71" i="12"/>
  <c r="AW71" i="12"/>
  <c r="AX70" i="12"/>
  <c r="AW70" i="12"/>
  <c r="AX69" i="12"/>
  <c r="AW69" i="12"/>
  <c r="AX68" i="12"/>
  <c r="AW68" i="12"/>
  <c r="AX67" i="12"/>
  <c r="AW67" i="12"/>
  <c r="AX66" i="12"/>
  <c r="AW66" i="12"/>
  <c r="AX65" i="12"/>
  <c r="AW65" i="12"/>
  <c r="P70" i="12"/>
  <c r="P69" i="12"/>
  <c r="O69" i="12"/>
  <c r="P68" i="12"/>
  <c r="O68" i="12"/>
  <c r="P67" i="12"/>
  <c r="O67" i="12"/>
  <c r="P66" i="12"/>
  <c r="O66" i="12"/>
  <c r="P65" i="12"/>
  <c r="O65" i="12"/>
  <c r="P64" i="12"/>
  <c r="O64" i="12"/>
  <c r="AN148" i="12"/>
  <c r="AM148" i="12"/>
  <c r="AN147" i="12"/>
  <c r="AM147" i="12"/>
  <c r="AN146" i="12"/>
  <c r="AM146" i="12"/>
  <c r="AN145" i="12"/>
  <c r="AM145" i="12"/>
  <c r="AN144" i="12"/>
  <c r="AM144" i="12"/>
  <c r="AN143" i="12"/>
  <c r="AM143" i="12"/>
  <c r="AN142" i="12"/>
  <c r="AM142" i="12"/>
  <c r="AN141" i="12"/>
  <c r="AM141" i="12"/>
  <c r="AN140" i="12"/>
  <c r="AM140" i="12"/>
  <c r="AN139" i="12"/>
  <c r="AM139" i="12"/>
  <c r="AN138" i="12"/>
  <c r="AM138" i="12"/>
  <c r="AN137" i="12"/>
  <c r="AM137" i="12"/>
  <c r="AN136" i="12"/>
  <c r="AM136" i="12"/>
  <c r="AN135" i="12"/>
  <c r="AM135" i="12"/>
  <c r="AN134" i="12"/>
  <c r="AM134" i="12"/>
  <c r="AN133" i="12"/>
  <c r="AM133" i="12"/>
  <c r="AN132" i="12"/>
  <c r="AM132" i="12"/>
  <c r="AN131" i="12"/>
  <c r="AM131" i="12"/>
  <c r="AN130" i="12"/>
  <c r="AM130" i="12"/>
  <c r="AN129" i="12"/>
  <c r="AM129" i="12"/>
  <c r="AN128" i="12"/>
  <c r="AM128" i="12"/>
  <c r="AN127" i="12"/>
  <c r="AM127" i="12"/>
  <c r="AN126" i="12"/>
  <c r="AM126" i="12"/>
  <c r="AN125" i="12"/>
  <c r="AM125" i="12"/>
  <c r="AN124" i="12"/>
  <c r="AM124" i="12"/>
  <c r="AN123" i="12"/>
  <c r="AM123" i="12"/>
  <c r="AN122" i="12"/>
  <c r="AM122" i="12"/>
  <c r="AN121" i="12"/>
  <c r="AM121" i="12"/>
  <c r="AN120" i="12"/>
  <c r="AM120" i="12"/>
  <c r="AN119" i="12"/>
  <c r="AM119" i="12"/>
  <c r="AN118" i="12"/>
  <c r="AM118" i="12"/>
  <c r="AN117" i="12"/>
  <c r="AM117" i="12"/>
  <c r="AN116" i="12"/>
  <c r="AM116" i="12"/>
  <c r="AN115" i="12"/>
  <c r="AM115" i="12"/>
  <c r="AN114" i="12"/>
  <c r="AM114" i="12"/>
  <c r="AN113" i="12"/>
  <c r="AM113" i="12"/>
  <c r="AN112" i="12"/>
  <c r="AM112" i="12"/>
  <c r="AN111" i="12"/>
  <c r="AM111" i="12"/>
  <c r="AN110" i="12"/>
  <c r="AM110" i="12"/>
  <c r="AN109" i="12"/>
  <c r="AM109" i="12"/>
  <c r="AN108" i="12"/>
  <c r="AM108" i="12"/>
  <c r="AN107" i="12"/>
  <c r="AM107" i="12"/>
  <c r="AN106" i="12"/>
  <c r="AM106" i="12"/>
  <c r="AN105" i="12"/>
  <c r="AM105" i="12"/>
  <c r="AN104" i="12"/>
  <c r="AM104" i="12"/>
  <c r="AN103" i="12"/>
  <c r="AM103" i="12"/>
  <c r="AN102" i="12"/>
  <c r="AM102" i="12"/>
  <c r="AN101" i="12"/>
  <c r="AM101" i="12"/>
  <c r="AN100" i="12"/>
  <c r="AM100" i="12"/>
  <c r="AN99" i="12"/>
  <c r="AM99" i="12"/>
  <c r="AN98" i="12"/>
  <c r="AM98" i="12"/>
  <c r="AN97" i="12"/>
  <c r="AM97" i="12"/>
  <c r="AN96" i="12"/>
  <c r="AM96" i="12"/>
  <c r="AN95" i="12"/>
  <c r="AM95" i="12"/>
  <c r="AN94" i="12"/>
  <c r="AM94" i="12"/>
  <c r="AN93" i="12"/>
  <c r="AM93" i="12"/>
  <c r="AN92" i="12"/>
  <c r="AM92" i="12"/>
  <c r="AN91" i="12"/>
  <c r="AM91" i="12"/>
  <c r="AN90" i="12"/>
  <c r="AM90" i="12"/>
  <c r="AN89" i="12"/>
  <c r="AM89" i="12"/>
  <c r="AN88" i="12"/>
  <c r="AM88" i="12"/>
  <c r="AN87" i="12"/>
  <c r="AM87" i="12"/>
  <c r="AN86" i="12"/>
  <c r="AM86" i="12"/>
  <c r="AN85" i="12"/>
  <c r="AM85" i="12"/>
  <c r="AN84" i="12"/>
  <c r="AM84" i="12"/>
  <c r="AN83" i="12"/>
  <c r="AM83" i="12"/>
  <c r="AN82" i="12"/>
  <c r="AM82" i="12"/>
  <c r="AN81" i="12"/>
  <c r="AM81" i="12"/>
  <c r="AN80" i="12"/>
  <c r="AM80" i="12"/>
  <c r="AN79" i="12"/>
  <c r="AM79" i="12"/>
  <c r="AN78" i="12"/>
  <c r="AM78" i="12"/>
  <c r="AN77" i="12"/>
  <c r="AM77" i="12"/>
  <c r="AN76" i="12"/>
  <c r="AM76" i="12"/>
  <c r="AN75" i="12"/>
  <c r="AM75" i="12"/>
  <c r="AN74" i="12"/>
  <c r="AM74" i="12"/>
  <c r="AN73" i="12"/>
  <c r="AM73" i="12"/>
  <c r="AN72" i="12"/>
  <c r="AM72" i="12"/>
  <c r="AN71" i="12"/>
  <c r="AM71" i="12"/>
  <c r="AN70" i="12"/>
  <c r="AM70" i="12"/>
  <c r="AN69" i="12"/>
  <c r="AM69" i="12"/>
  <c r="AN68" i="12"/>
  <c r="AM68" i="12"/>
  <c r="AN67" i="12"/>
  <c r="AM67" i="12"/>
  <c r="AN66" i="12"/>
  <c r="AM66" i="12"/>
  <c r="AN65" i="12"/>
  <c r="AM65" i="12"/>
  <c r="AS148" i="12"/>
  <c r="AR148" i="12"/>
  <c r="AS147" i="12"/>
  <c r="AR147" i="12"/>
  <c r="AS146" i="12"/>
  <c r="AR146" i="12"/>
  <c r="AS145" i="12"/>
  <c r="AR145" i="12"/>
  <c r="AS144" i="12"/>
  <c r="AR144" i="12"/>
  <c r="AS143" i="12"/>
  <c r="AR143" i="12"/>
  <c r="AS142" i="12"/>
  <c r="AR142" i="12"/>
  <c r="AS141" i="12"/>
  <c r="AR141" i="12"/>
  <c r="AS140" i="12"/>
  <c r="AR140" i="12"/>
  <c r="AS139" i="12"/>
  <c r="AR139" i="12"/>
  <c r="AS138" i="12"/>
  <c r="AR138" i="12"/>
  <c r="AS137" i="12"/>
  <c r="AR137" i="12"/>
  <c r="AS136" i="12"/>
  <c r="AR136" i="12"/>
  <c r="AS135" i="12"/>
  <c r="AR135" i="12"/>
  <c r="AS134" i="12"/>
  <c r="AR134" i="12"/>
  <c r="AS133" i="12"/>
  <c r="AR133" i="12"/>
  <c r="AS132" i="12"/>
  <c r="AR132" i="12"/>
  <c r="AS131" i="12"/>
  <c r="AR131" i="12"/>
  <c r="AS130" i="12"/>
  <c r="AR130" i="12"/>
  <c r="AS129" i="12"/>
  <c r="AR129" i="12"/>
  <c r="AS128" i="12"/>
  <c r="AR128" i="12"/>
  <c r="AS127" i="12"/>
  <c r="AR127" i="12"/>
  <c r="AS126" i="12"/>
  <c r="AR126" i="12"/>
  <c r="AS125" i="12"/>
  <c r="AR125" i="12"/>
  <c r="AS124" i="12"/>
  <c r="AR124" i="12"/>
  <c r="AS123" i="12"/>
  <c r="AR123" i="12"/>
  <c r="AS122" i="12"/>
  <c r="AR122" i="12"/>
  <c r="AS121" i="12"/>
  <c r="AR121" i="12"/>
  <c r="AS120" i="12"/>
  <c r="AR120" i="12"/>
  <c r="AS119" i="12"/>
  <c r="AR119" i="12"/>
  <c r="AS118" i="12"/>
  <c r="AR118" i="12"/>
  <c r="AS117" i="12"/>
  <c r="AR117" i="12"/>
  <c r="AS116" i="12"/>
  <c r="AR116" i="12"/>
  <c r="AS115" i="12"/>
  <c r="AR115" i="12"/>
  <c r="AS114" i="12"/>
  <c r="AR114" i="12"/>
  <c r="AS113" i="12"/>
  <c r="AR113" i="12"/>
  <c r="AS112" i="12"/>
  <c r="AR112" i="12"/>
  <c r="AS111" i="12"/>
  <c r="AR111" i="12"/>
  <c r="AS110" i="12"/>
  <c r="AR110" i="12"/>
  <c r="AS109" i="12"/>
  <c r="AR109" i="12"/>
  <c r="AS108" i="12"/>
  <c r="AR108" i="12"/>
  <c r="AS107" i="12"/>
  <c r="AR107" i="12"/>
  <c r="AS106" i="12"/>
  <c r="AR106" i="12"/>
  <c r="AS105" i="12"/>
  <c r="AR105" i="12"/>
  <c r="AS104" i="12"/>
  <c r="AR104" i="12"/>
  <c r="AS103" i="12"/>
  <c r="AR103" i="12"/>
  <c r="AS102" i="12"/>
  <c r="AR102" i="12"/>
  <c r="AS101" i="12"/>
  <c r="AR101" i="12"/>
  <c r="AS100" i="12"/>
  <c r="AR100" i="12"/>
  <c r="AS99" i="12"/>
  <c r="AR99" i="12"/>
  <c r="AS98" i="12"/>
  <c r="AR98" i="12"/>
  <c r="AS97" i="12"/>
  <c r="AR97" i="12"/>
  <c r="AS96" i="12"/>
  <c r="AR96" i="12"/>
  <c r="AS95" i="12"/>
  <c r="AR95" i="12"/>
  <c r="AS94" i="12"/>
  <c r="AR94" i="12"/>
  <c r="AS93" i="12"/>
  <c r="AR93" i="12"/>
  <c r="AS92" i="12"/>
  <c r="AR92" i="12"/>
  <c r="AS91" i="12"/>
  <c r="AR91" i="12"/>
  <c r="AS90" i="12"/>
  <c r="AR90" i="12"/>
  <c r="AS89" i="12"/>
  <c r="AR89" i="12"/>
  <c r="AS88" i="12"/>
  <c r="AR88" i="12"/>
  <c r="AS87" i="12"/>
  <c r="AR87" i="12"/>
  <c r="AS86" i="12"/>
  <c r="AR86" i="12"/>
  <c r="AS85" i="12"/>
  <c r="AR85" i="12"/>
  <c r="AS84" i="12"/>
  <c r="AR84" i="12"/>
  <c r="AS83" i="12"/>
  <c r="AR83" i="12"/>
  <c r="AS82" i="12"/>
  <c r="AR82" i="12"/>
  <c r="AS81" i="12"/>
  <c r="AR81" i="12"/>
  <c r="AS80" i="12"/>
  <c r="AR80" i="12"/>
  <c r="AS79" i="12"/>
  <c r="AR79" i="12"/>
  <c r="AS78" i="12"/>
  <c r="AR78" i="12"/>
  <c r="AS77" i="12"/>
  <c r="AR77" i="12"/>
  <c r="AS76" i="12"/>
  <c r="AR76" i="12"/>
  <c r="AS75" i="12"/>
  <c r="AR75" i="12"/>
  <c r="AS74" i="12"/>
  <c r="AR74" i="12"/>
  <c r="AS73" i="12"/>
  <c r="AR73" i="12"/>
  <c r="AS72" i="12"/>
  <c r="AR72" i="12"/>
  <c r="AS71" i="12"/>
  <c r="AR71" i="12"/>
  <c r="AS70" i="12"/>
  <c r="AR70" i="12"/>
  <c r="AS69" i="12"/>
  <c r="AR69" i="12"/>
  <c r="AS68" i="12"/>
  <c r="AR68" i="12"/>
  <c r="AS67" i="12"/>
  <c r="AR67" i="12"/>
  <c r="AS66" i="12"/>
  <c r="AR66" i="12"/>
  <c r="AS65" i="12"/>
  <c r="AR65" i="12"/>
  <c r="AS64" i="12"/>
  <c r="AR64" i="12"/>
  <c r="AS63" i="12"/>
  <c r="AR63" i="12"/>
  <c r="AS62" i="12"/>
  <c r="AR62" i="12"/>
  <c r="AS61" i="12"/>
  <c r="AR61" i="12"/>
  <c r="AS31" i="12"/>
  <c r="AR31" i="12"/>
  <c r="AW31" i="12"/>
  <c r="AX31" i="12"/>
  <c r="AR32" i="12"/>
  <c r="AS32" i="12"/>
  <c r="AW32" i="12"/>
  <c r="AX32" i="12"/>
  <c r="AS33" i="12"/>
  <c r="AR33" i="12"/>
  <c r="AW33" i="12"/>
  <c r="AX33" i="12"/>
  <c r="AR34" i="12"/>
  <c r="AS34" i="12"/>
  <c r="AW34" i="12"/>
  <c r="AX34" i="12"/>
  <c r="AS35" i="12"/>
  <c r="AR35" i="12"/>
  <c r="AW35" i="12"/>
  <c r="AX35" i="12"/>
  <c r="AR36" i="12"/>
  <c r="AS36" i="12"/>
  <c r="AW36" i="12"/>
  <c r="AX36" i="12"/>
  <c r="AS37" i="12"/>
  <c r="AR37" i="12"/>
  <c r="AW37" i="12"/>
  <c r="AX37" i="12"/>
  <c r="AR38" i="12"/>
  <c r="AS38" i="12"/>
  <c r="AW38" i="12"/>
  <c r="AX38" i="12"/>
  <c r="AS39" i="12"/>
  <c r="AR39" i="12"/>
  <c r="AW39" i="12"/>
  <c r="AX39" i="12"/>
  <c r="AR40" i="12"/>
  <c r="AS40" i="12"/>
  <c r="AW40" i="12"/>
  <c r="AX40" i="12"/>
  <c r="AS41" i="12"/>
  <c r="AR41" i="12"/>
  <c r="AW41" i="12"/>
  <c r="AX41" i="12"/>
  <c r="AR42" i="12"/>
  <c r="AS42" i="12"/>
  <c r="AW42" i="12"/>
  <c r="AX42" i="12"/>
  <c r="AR43" i="12"/>
  <c r="AS43" i="12"/>
  <c r="AW43" i="12"/>
  <c r="AX43" i="12"/>
  <c r="AR44" i="12"/>
  <c r="AS44" i="12"/>
  <c r="AW44" i="12"/>
  <c r="AX44" i="12"/>
  <c r="AR45" i="12"/>
  <c r="AS45" i="12"/>
  <c r="AW45" i="12"/>
  <c r="AX45" i="12"/>
  <c r="AR46" i="12"/>
  <c r="AS46" i="12"/>
  <c r="AW46" i="12"/>
  <c r="AX46" i="12"/>
  <c r="AR47" i="12"/>
  <c r="AS47" i="12"/>
  <c r="AW47" i="12"/>
  <c r="AX47" i="12"/>
  <c r="AR48" i="12"/>
  <c r="AS48" i="12"/>
  <c r="AW48" i="12"/>
  <c r="AX48" i="12"/>
  <c r="AR49" i="12"/>
  <c r="AS49" i="12"/>
  <c r="AX49" i="12"/>
  <c r="AW49" i="12"/>
  <c r="AR50" i="12"/>
  <c r="AS50" i="12"/>
  <c r="AW50" i="12"/>
  <c r="AX50" i="12"/>
  <c r="AR51" i="12"/>
  <c r="AS51" i="12"/>
  <c r="AX51" i="12"/>
  <c r="AW51" i="12"/>
  <c r="AR52" i="12"/>
  <c r="AS52" i="12"/>
  <c r="AW52" i="12"/>
  <c r="AX52" i="12"/>
  <c r="AR53" i="12"/>
  <c r="AS53" i="12"/>
  <c r="AX53" i="12"/>
  <c r="AW53" i="12"/>
  <c r="AR54" i="12"/>
  <c r="AS54" i="12"/>
  <c r="AW54" i="12"/>
  <c r="AX54" i="12"/>
  <c r="AR55" i="12"/>
  <c r="AS55" i="12"/>
  <c r="AX55" i="12"/>
  <c r="AW55" i="12"/>
  <c r="AR56" i="12"/>
  <c r="AS56" i="12"/>
  <c r="AW56" i="12"/>
  <c r="AX56" i="12"/>
  <c r="AR57" i="12"/>
  <c r="AS57" i="12"/>
  <c r="AX57" i="12"/>
  <c r="AW57" i="12"/>
  <c r="AR58" i="12"/>
  <c r="AS58" i="12"/>
  <c r="AW58" i="12"/>
  <c r="AX58" i="12"/>
  <c r="AR59" i="12"/>
  <c r="AS59" i="12"/>
  <c r="AX59" i="12"/>
  <c r="AW59" i="12"/>
  <c r="AR60" i="12"/>
  <c r="AS60" i="12"/>
  <c r="AW60" i="12"/>
  <c r="AX60" i="12"/>
  <c r="AX61" i="12"/>
  <c r="AW61" i="12"/>
  <c r="AW62" i="12"/>
  <c r="AX62" i="12"/>
  <c r="AX63" i="12"/>
  <c r="AW63" i="12"/>
  <c r="AW64" i="12"/>
  <c r="AX64" i="12"/>
  <c r="AU70" i="12"/>
  <c r="AU71" i="12" s="1"/>
  <c r="AU72" i="12" s="1"/>
  <c r="AU73" i="12" s="1"/>
  <c r="AU74" i="12" s="1"/>
  <c r="AU75" i="12" s="1"/>
  <c r="AU76" i="12" s="1"/>
  <c r="AU77" i="12" s="1"/>
  <c r="AU78" i="12" s="1"/>
  <c r="AU79" i="12" s="1"/>
  <c r="AU80" i="12" s="1"/>
  <c r="AU81" i="12" s="1"/>
  <c r="AU82" i="12" s="1"/>
  <c r="AU83" i="12" s="1"/>
  <c r="AU84" i="12" s="1"/>
  <c r="AU85" i="12" s="1"/>
  <c r="AU86" i="12" s="1"/>
  <c r="AU87" i="12" s="1"/>
  <c r="AU88" i="12" s="1"/>
  <c r="AU89" i="12" s="1"/>
  <c r="AU90" i="12" s="1"/>
  <c r="AU91" i="12" s="1"/>
  <c r="AU92" i="12" s="1"/>
  <c r="AU93" i="12" s="1"/>
  <c r="AU94" i="12" s="1"/>
  <c r="AU95" i="12" s="1"/>
  <c r="AU96" i="12" s="1"/>
  <c r="AU97" i="12" s="1"/>
  <c r="AU98" i="12" s="1"/>
  <c r="AU99" i="12" s="1"/>
  <c r="AU100" i="12" s="1"/>
  <c r="AU101" i="12" s="1"/>
  <c r="AU102" i="12" s="1"/>
  <c r="AU103" i="12" s="1"/>
  <c r="AU104" i="12" s="1"/>
  <c r="AU105" i="12" s="1"/>
  <c r="AU106" i="12" s="1"/>
  <c r="AU107" i="12" s="1"/>
  <c r="AU108" i="12" s="1"/>
  <c r="AU109" i="12" s="1"/>
  <c r="AU110" i="12" s="1"/>
  <c r="AU111" i="12" s="1"/>
  <c r="AU112" i="12" s="1"/>
  <c r="AU113" i="12" s="1"/>
  <c r="AU114" i="12" s="1"/>
  <c r="AU115" i="12" s="1"/>
  <c r="AU116" i="12" s="1"/>
  <c r="AU117" i="12" s="1"/>
  <c r="AU118" i="12" s="1"/>
  <c r="AU119" i="12" s="1"/>
  <c r="AU120" i="12" s="1"/>
  <c r="AU121" i="12" s="1"/>
  <c r="AU122" i="12" s="1"/>
  <c r="AU123" i="12" s="1"/>
  <c r="AU124" i="12" s="1"/>
  <c r="AU125" i="12" s="1"/>
  <c r="AU126" i="12" s="1"/>
  <c r="AU127" i="12" s="1"/>
  <c r="AU128" i="12" s="1"/>
  <c r="AU129" i="12" s="1"/>
  <c r="AU130" i="12" s="1"/>
  <c r="AU131" i="12" s="1"/>
  <c r="AU132" i="12" s="1"/>
  <c r="AU133" i="12" s="1"/>
  <c r="AU134" i="12" s="1"/>
  <c r="AU135" i="12" s="1"/>
  <c r="AU136" i="12" s="1"/>
  <c r="AU137" i="12" s="1"/>
  <c r="AU138" i="12" s="1"/>
  <c r="AU139" i="12" s="1"/>
  <c r="AU140" i="12" s="1"/>
  <c r="AU141" i="12" s="1"/>
  <c r="AU142" i="12" s="1"/>
  <c r="AU143" i="12" s="1"/>
  <c r="AU144" i="12" s="1"/>
  <c r="AU145" i="12" s="1"/>
  <c r="AU146" i="12" s="1"/>
  <c r="AU147" i="12" s="1"/>
  <c r="AU148" i="12" s="1"/>
  <c r="AO71" i="12"/>
  <c r="AO72" i="12" s="1"/>
  <c r="AO73" i="12" s="1"/>
  <c r="AO74" i="12" s="1"/>
  <c r="AO75" i="12" s="1"/>
  <c r="AO76" i="12" s="1"/>
  <c r="AO77" i="12" s="1"/>
  <c r="AO78" i="12" s="1"/>
  <c r="AO79" i="12" s="1"/>
  <c r="AO80" i="12" s="1"/>
  <c r="AO81" i="12" s="1"/>
  <c r="AO82" i="12" s="1"/>
  <c r="AO83" i="12" s="1"/>
  <c r="AO84" i="12" s="1"/>
  <c r="AO85" i="12" s="1"/>
  <c r="AO86" i="12" s="1"/>
  <c r="AO87" i="12" s="1"/>
  <c r="AO88" i="12" s="1"/>
  <c r="AO89" i="12" s="1"/>
  <c r="AO90" i="12" s="1"/>
  <c r="AO91" i="12" s="1"/>
  <c r="AO92" i="12" s="1"/>
  <c r="AO93" i="12" s="1"/>
  <c r="AO94" i="12" s="1"/>
  <c r="AO95" i="12" s="1"/>
  <c r="AP71" i="12"/>
  <c r="AP72" i="12"/>
  <c r="AP73" i="12" s="1"/>
  <c r="AP74" i="12" s="1"/>
  <c r="AP70" i="12"/>
  <c r="AO70" i="12"/>
  <c r="AM46" i="12"/>
  <c r="AN46" i="12"/>
  <c r="AM47" i="12"/>
  <c r="AN47" i="12"/>
  <c r="AM48" i="12"/>
  <c r="AN48" i="12"/>
  <c r="AM49" i="12"/>
  <c r="AN49" i="12"/>
  <c r="AM50" i="12"/>
  <c r="AN50" i="12"/>
  <c r="AM51" i="12"/>
  <c r="AN51" i="12"/>
  <c r="AM52" i="12"/>
  <c r="AN52" i="12"/>
  <c r="AM53" i="12"/>
  <c r="AN53" i="12"/>
  <c r="AM54" i="12"/>
  <c r="AN54" i="12"/>
  <c r="AM55" i="12"/>
  <c r="AN55" i="12"/>
  <c r="AM56" i="12"/>
  <c r="AN56" i="12"/>
  <c r="AM57" i="12"/>
  <c r="AN57" i="12"/>
  <c r="AM58" i="12"/>
  <c r="AN58" i="12"/>
  <c r="AM59" i="12"/>
  <c r="AN59" i="12"/>
  <c r="AM60" i="12"/>
  <c r="AN60" i="12"/>
  <c r="AM61" i="12"/>
  <c r="AN61" i="12"/>
  <c r="AM62" i="12"/>
  <c r="AN62" i="12"/>
  <c r="AM63" i="12"/>
  <c r="AN63" i="12"/>
  <c r="AM64" i="12"/>
  <c r="AN64" i="12"/>
  <c r="AN45" i="12"/>
  <c r="AM45" i="12"/>
  <c r="AV110" i="12" l="1"/>
  <c r="AV112" i="12"/>
  <c r="AV126" i="12"/>
  <c r="AV128" i="12"/>
  <c r="AV130" i="12"/>
  <c r="AV132" i="12"/>
  <c r="AV136" i="12"/>
  <c r="AV138" i="12"/>
  <c r="AV140" i="12"/>
  <c r="AV142" i="12"/>
  <c r="AV146" i="12"/>
  <c r="AV148" i="12"/>
  <c r="AL55" i="12"/>
  <c r="AL51" i="12"/>
  <c r="AL85" i="12"/>
  <c r="AL89" i="12"/>
  <c r="AL91" i="12"/>
  <c r="AL117" i="12"/>
  <c r="AL90" i="12"/>
  <c r="AL92" i="12"/>
  <c r="AL94" i="12"/>
  <c r="AL122" i="12"/>
  <c r="AL124" i="12"/>
  <c r="AL126" i="12"/>
  <c r="AL128" i="12"/>
  <c r="AL130" i="12"/>
  <c r="AL132" i="12"/>
  <c r="AL138" i="12"/>
  <c r="AL140" i="12"/>
  <c r="AL142" i="12"/>
  <c r="AL144" i="12"/>
  <c r="AL146" i="12"/>
  <c r="AL148" i="12"/>
  <c r="N65" i="12"/>
  <c r="AV63" i="12"/>
  <c r="AQ68" i="12"/>
  <c r="AQ72" i="12"/>
  <c r="AQ84" i="12"/>
  <c r="AQ88" i="12"/>
  <c r="AQ92" i="12"/>
  <c r="AQ94" i="12"/>
  <c r="AL101" i="12"/>
  <c r="AL133" i="12"/>
  <c r="AV73" i="12"/>
  <c r="AV77" i="12"/>
  <c r="AV79" i="12"/>
  <c r="AV81" i="12"/>
  <c r="AV89" i="12"/>
  <c r="AV91" i="12"/>
  <c r="AV93" i="12"/>
  <c r="AV95" i="12"/>
  <c r="AV97" i="12"/>
  <c r="AV101" i="12"/>
  <c r="AV103" i="12"/>
  <c r="AV49" i="12"/>
  <c r="AQ65" i="12"/>
  <c r="AQ69" i="12"/>
  <c r="AQ77" i="12"/>
  <c r="AQ81" i="12"/>
  <c r="AQ85" i="12"/>
  <c r="AQ93" i="12"/>
  <c r="AQ97" i="12"/>
  <c r="AQ113" i="12"/>
  <c r="AQ117" i="12"/>
  <c r="AQ125" i="12"/>
  <c r="AQ127" i="12"/>
  <c r="AQ129" i="12"/>
  <c r="AQ145" i="12"/>
  <c r="AL65" i="12"/>
  <c r="AL73" i="12"/>
  <c r="AL77" i="12"/>
  <c r="AL81" i="12"/>
  <c r="AL83" i="12"/>
  <c r="AV78" i="12"/>
  <c r="AV80" i="12"/>
  <c r="AV82" i="12"/>
  <c r="AV84" i="12"/>
  <c r="AV86" i="12"/>
  <c r="AV88" i="12"/>
  <c r="AV113" i="12"/>
  <c r="AV129" i="12"/>
  <c r="AQ148" i="12"/>
  <c r="AL74" i="12"/>
  <c r="AL76" i="12"/>
  <c r="AL78" i="12"/>
  <c r="AL80" i="12"/>
  <c r="AL82" i="12"/>
  <c r="AL121" i="12"/>
  <c r="AL123" i="12"/>
  <c r="AL125" i="12"/>
  <c r="AL129" i="12"/>
  <c r="AL131" i="12"/>
  <c r="AL137" i="12"/>
  <c r="AL139" i="12"/>
  <c r="AL141" i="12"/>
  <c r="AL145" i="12"/>
  <c r="AL147" i="12"/>
  <c r="AV65" i="12"/>
  <c r="AV69" i="12"/>
  <c r="AV71" i="12"/>
  <c r="AV94" i="12"/>
  <c r="AV96" i="12"/>
  <c r="AV98" i="12"/>
  <c r="AV100" i="12"/>
  <c r="AV102" i="12"/>
  <c r="AV104" i="12"/>
  <c r="AV125" i="12"/>
  <c r="AV127" i="12"/>
  <c r="AV133" i="12"/>
  <c r="AV135" i="12"/>
  <c r="AQ133" i="12"/>
  <c r="AQ141" i="12"/>
  <c r="AQ143" i="12"/>
  <c r="AL96" i="12"/>
  <c r="AL98" i="12"/>
  <c r="AL100" i="12"/>
  <c r="AL106" i="12"/>
  <c r="AL108" i="12"/>
  <c r="AL110" i="12"/>
  <c r="AL112" i="12"/>
  <c r="AL114" i="12"/>
  <c r="AL116" i="12"/>
  <c r="AV85" i="12"/>
  <c r="AV87" i="12"/>
  <c r="AV118" i="12"/>
  <c r="AV120" i="12"/>
  <c r="AQ100" i="12"/>
  <c r="AQ102" i="12"/>
  <c r="AL69" i="12"/>
  <c r="AL97" i="12"/>
  <c r="AL99" i="12"/>
  <c r="AL105" i="12"/>
  <c r="AL107" i="12"/>
  <c r="AL109" i="12"/>
  <c r="AL113" i="12"/>
  <c r="AL115" i="12"/>
  <c r="N69" i="12"/>
  <c r="AV111" i="12"/>
  <c r="AV117" i="12"/>
  <c r="AV119" i="12"/>
  <c r="AV144" i="12"/>
  <c r="AV75" i="12"/>
  <c r="AV114" i="12"/>
  <c r="AV116" i="12"/>
  <c r="AV123" i="12"/>
  <c r="AV72" i="12"/>
  <c r="AV74" i="12"/>
  <c r="AV76" i="12"/>
  <c r="AV83" i="12"/>
  <c r="AV90" i="12"/>
  <c r="AV92" i="12"/>
  <c r="AV99" i="12"/>
  <c r="AV106" i="12"/>
  <c r="AV108" i="12"/>
  <c r="AV115" i="12"/>
  <c r="AV122" i="12"/>
  <c r="AV124" i="12"/>
  <c r="AV131" i="12"/>
  <c r="AV134" i="12"/>
  <c r="AV70" i="12"/>
  <c r="AV37" i="12"/>
  <c r="AV35" i="12"/>
  <c r="AV33" i="12"/>
  <c r="AV31" i="12"/>
  <c r="AV39" i="12"/>
  <c r="AV41" i="12"/>
  <c r="AV66" i="12"/>
  <c r="AV67" i="12"/>
  <c r="AV68" i="12"/>
  <c r="AQ39" i="12"/>
  <c r="AQ35" i="12"/>
  <c r="AQ31" i="12"/>
  <c r="AQ64" i="12"/>
  <c r="AQ67" i="12"/>
  <c r="AQ73" i="12"/>
  <c r="AQ105" i="12"/>
  <c r="AQ108" i="12"/>
  <c r="AQ116" i="12"/>
  <c r="AQ118" i="12"/>
  <c r="AQ41" i="12"/>
  <c r="AQ37" i="12"/>
  <c r="AQ33" i="12"/>
  <c r="AQ61" i="12"/>
  <c r="AQ132" i="12"/>
  <c r="AQ134" i="12"/>
  <c r="AQ48" i="12"/>
  <c r="AQ110" i="12"/>
  <c r="AQ121" i="12"/>
  <c r="AQ124" i="12"/>
  <c r="AQ126" i="12"/>
  <c r="AQ137" i="12"/>
  <c r="AQ76" i="12"/>
  <c r="AQ80" i="12"/>
  <c r="AQ89" i="12"/>
  <c r="AQ101" i="12"/>
  <c r="AQ109" i="12"/>
  <c r="AQ140" i="12"/>
  <c r="AQ142" i="12"/>
  <c r="AQ60" i="12"/>
  <c r="AQ58" i="12"/>
  <c r="AQ56" i="12"/>
  <c r="AQ54" i="12"/>
  <c r="AQ52" i="12"/>
  <c r="AQ46" i="12"/>
  <c r="AV45" i="12"/>
  <c r="AQ44" i="12"/>
  <c r="AV43" i="12"/>
  <c r="AQ74" i="12"/>
  <c r="AQ90" i="12"/>
  <c r="AQ104" i="12"/>
  <c r="AQ106" i="12"/>
  <c r="AQ120" i="12"/>
  <c r="AQ122" i="12"/>
  <c r="AQ136" i="12"/>
  <c r="AQ138" i="12"/>
  <c r="AQ147" i="12"/>
  <c r="AL75" i="12"/>
  <c r="AL87" i="12"/>
  <c r="AL119" i="12"/>
  <c r="AV48" i="12"/>
  <c r="AQ66" i="12"/>
  <c r="AQ82" i="12"/>
  <c r="AQ96" i="12"/>
  <c r="AQ98" i="12"/>
  <c r="AQ112" i="12"/>
  <c r="AQ114" i="12"/>
  <c r="AQ128" i="12"/>
  <c r="AQ130" i="12"/>
  <c r="AQ144" i="12"/>
  <c r="AQ146" i="12"/>
  <c r="AL93" i="12"/>
  <c r="AL103" i="12"/>
  <c r="AL135" i="12"/>
  <c r="AQ55" i="12"/>
  <c r="AQ51" i="12"/>
  <c r="AQ47" i="12"/>
  <c r="AQ71" i="12"/>
  <c r="AQ79" i="12"/>
  <c r="AQ87" i="12"/>
  <c r="AQ95" i="12"/>
  <c r="AQ111" i="12"/>
  <c r="AQ119" i="12"/>
  <c r="AQ135" i="12"/>
  <c r="AV61" i="12"/>
  <c r="AV60" i="12"/>
  <c r="AV59" i="12"/>
  <c r="AV58" i="12"/>
  <c r="AV57" i="12"/>
  <c r="AV56" i="12"/>
  <c r="AV55" i="12"/>
  <c r="AV54" i="12"/>
  <c r="AV53" i="12"/>
  <c r="AV52" i="12"/>
  <c r="AV51" i="12"/>
  <c r="AV50" i="12"/>
  <c r="AV47" i="12"/>
  <c r="AV46" i="12"/>
  <c r="AQ62" i="12"/>
  <c r="AQ70" i="12"/>
  <c r="AQ78" i="12"/>
  <c r="AQ86" i="12"/>
  <c r="AL66" i="12"/>
  <c r="AL68" i="12"/>
  <c r="AL71" i="12"/>
  <c r="AL84" i="12"/>
  <c r="AQ59" i="12"/>
  <c r="AQ57" i="12"/>
  <c r="AQ53" i="12"/>
  <c r="AQ63" i="12"/>
  <c r="AQ103" i="12"/>
  <c r="AL67" i="12"/>
  <c r="AQ50" i="12"/>
  <c r="AV44" i="12"/>
  <c r="AQ42" i="12"/>
  <c r="AQ40" i="12"/>
  <c r="AQ38" i="12"/>
  <c r="AQ36" i="12"/>
  <c r="AQ34" i="12"/>
  <c r="AQ32" i="12"/>
  <c r="AQ75" i="12"/>
  <c r="AQ83" i="12"/>
  <c r="AQ91" i="12"/>
  <c r="AQ99" i="12"/>
  <c r="AQ107" i="12"/>
  <c r="AQ115" i="12"/>
  <c r="AQ123" i="12"/>
  <c r="AQ131" i="12"/>
  <c r="AQ139" i="12"/>
  <c r="AL70" i="12"/>
  <c r="AL72" i="12"/>
  <c r="AL79" i="12"/>
  <c r="AL86" i="12"/>
  <c r="AL88" i="12"/>
  <c r="AL95" i="12"/>
  <c r="AL102" i="12"/>
  <c r="AL104" i="12"/>
  <c r="AL111" i="12"/>
  <c r="AL118" i="12"/>
  <c r="AL120" i="12"/>
  <c r="AL127" i="12"/>
  <c r="AL134" i="12"/>
  <c r="AL136" i="12"/>
  <c r="AL143" i="12"/>
  <c r="N64" i="12"/>
  <c r="N67" i="12"/>
  <c r="N66" i="12"/>
  <c r="N68" i="12"/>
  <c r="AV64" i="12"/>
  <c r="AV62" i="12"/>
  <c r="AQ49" i="12"/>
  <c r="AV42" i="12"/>
  <c r="AV40" i="12"/>
  <c r="AV38" i="12"/>
  <c r="AV36" i="12"/>
  <c r="AV34" i="12"/>
  <c r="AV32" i="12"/>
  <c r="AQ45" i="12"/>
  <c r="AQ43" i="12"/>
  <c r="AT70" i="12"/>
  <c r="AT71" i="12" s="1"/>
  <c r="AT72" i="12" s="1"/>
  <c r="AT73" i="12" s="1"/>
  <c r="AT74" i="12" s="1"/>
  <c r="AT75" i="12" s="1"/>
  <c r="AT76" i="12" s="1"/>
  <c r="AT77" i="12" s="1"/>
  <c r="AT78" i="12" s="1"/>
  <c r="AT79" i="12" s="1"/>
  <c r="AT80" i="12" s="1"/>
  <c r="AT81" i="12" s="1"/>
  <c r="AT82" i="12" s="1"/>
  <c r="AT83" i="12" s="1"/>
  <c r="AT84" i="12" s="1"/>
  <c r="AT85" i="12" s="1"/>
  <c r="AT86" i="12" s="1"/>
  <c r="AT87" i="12" s="1"/>
  <c r="AT88" i="12" s="1"/>
  <c r="AT89" i="12" s="1"/>
  <c r="AT90" i="12" s="1"/>
  <c r="AT91" i="12" s="1"/>
  <c r="AT92" i="12" s="1"/>
  <c r="AT93" i="12" s="1"/>
  <c r="AT94" i="12" s="1"/>
  <c r="AT95" i="12" s="1"/>
  <c r="AT96" i="12" s="1"/>
  <c r="AT97" i="12" s="1"/>
  <c r="AT98" i="12" s="1"/>
  <c r="AT99" i="12" s="1"/>
  <c r="AT100" i="12" s="1"/>
  <c r="AT101" i="12" s="1"/>
  <c r="AT102" i="12" s="1"/>
  <c r="AT103" i="12" s="1"/>
  <c r="AT104" i="12" s="1"/>
  <c r="AT105" i="12" s="1"/>
  <c r="AT106" i="12" s="1"/>
  <c r="AT107" i="12" s="1"/>
  <c r="AT108" i="12" s="1"/>
  <c r="AT109" i="12" s="1"/>
  <c r="AT110" i="12" s="1"/>
  <c r="AT111" i="12" s="1"/>
  <c r="AT112" i="12" s="1"/>
  <c r="AT113" i="12" s="1"/>
  <c r="AT114" i="12" s="1"/>
  <c r="AT115" i="12" s="1"/>
  <c r="AT116" i="12" s="1"/>
  <c r="AT117" i="12" s="1"/>
  <c r="AT118" i="12" s="1"/>
  <c r="AT119" i="12" s="1"/>
  <c r="AT120" i="12" s="1"/>
  <c r="AT121" i="12" s="1"/>
  <c r="AT122" i="12" s="1"/>
  <c r="AT123" i="12" s="1"/>
  <c r="AT124" i="12" s="1"/>
  <c r="AT125" i="12" s="1"/>
  <c r="AT126" i="12" s="1"/>
  <c r="AT127" i="12" s="1"/>
  <c r="AT128" i="12" s="1"/>
  <c r="AT129" i="12" s="1"/>
  <c r="AT130" i="12" s="1"/>
  <c r="AT131" i="12" s="1"/>
  <c r="AT132" i="12" s="1"/>
  <c r="AT133" i="12" s="1"/>
  <c r="AT134" i="12" s="1"/>
  <c r="AT135" i="12" s="1"/>
  <c r="AT136" i="12" s="1"/>
  <c r="AT137" i="12" s="1"/>
  <c r="AT138" i="12" s="1"/>
  <c r="AT139" i="12" s="1"/>
  <c r="AT140" i="12" s="1"/>
  <c r="AT141" i="12" s="1"/>
  <c r="AT142" i="12" s="1"/>
  <c r="AT143" i="12" s="1"/>
  <c r="AT144" i="12" s="1"/>
  <c r="AT145" i="12" s="1"/>
  <c r="AT146" i="12" s="1"/>
  <c r="AT147" i="12" s="1"/>
  <c r="AT148" i="12" s="1"/>
  <c r="AP75" i="12"/>
  <c r="AO96" i="12"/>
  <c r="AL63" i="12"/>
  <c r="AL59" i="12"/>
  <c r="AL46" i="12"/>
  <c r="AL45" i="12"/>
  <c r="AL49" i="12"/>
  <c r="AL47" i="12"/>
  <c r="AL60" i="12"/>
  <c r="AL58" i="12"/>
  <c r="AL56" i="12"/>
  <c r="AL61" i="12"/>
  <c r="AL54" i="12"/>
  <c r="AL52" i="12"/>
  <c r="AL64" i="12"/>
  <c r="AL62" i="12"/>
  <c r="AL57" i="12"/>
  <c r="AL50" i="12"/>
  <c r="AL48" i="12"/>
  <c r="AL53" i="12"/>
  <c r="U64" i="12"/>
  <c r="U63" i="12"/>
  <c r="U62" i="12"/>
  <c r="U61" i="12"/>
  <c r="U60" i="12"/>
  <c r="U59" i="12"/>
  <c r="U58" i="12"/>
  <c r="U57" i="12"/>
  <c r="U56" i="12"/>
  <c r="U55" i="12"/>
  <c r="U54" i="12"/>
  <c r="U53" i="12"/>
  <c r="U52" i="12"/>
  <c r="U51" i="12"/>
  <c r="U50" i="12"/>
  <c r="U49" i="12"/>
  <c r="U48" i="12"/>
  <c r="U47" i="12"/>
  <c r="U46" i="12"/>
  <c r="U45" i="12"/>
  <c r="U44" i="12"/>
  <c r="U43" i="12"/>
  <c r="U42" i="12"/>
  <c r="U41" i="12"/>
  <c r="U40" i="12"/>
  <c r="U39" i="12"/>
  <c r="U38" i="12"/>
  <c r="U37" i="12"/>
  <c r="U36" i="12"/>
  <c r="U35" i="12"/>
  <c r="U34" i="12"/>
  <c r="U33" i="12"/>
  <c r="U32" i="12"/>
  <c r="U31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U5" i="12"/>
  <c r="AP76" i="12" l="1"/>
  <c r="AO97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K10" i="12"/>
  <c r="K9" i="12"/>
  <c r="K8" i="12"/>
  <c r="K7" i="12"/>
  <c r="K6" i="12"/>
  <c r="K5" i="12"/>
  <c r="O6" i="12"/>
  <c r="P6" i="12"/>
  <c r="O7" i="12"/>
  <c r="P7" i="12"/>
  <c r="O8" i="12"/>
  <c r="P8" i="12"/>
  <c r="O9" i="12"/>
  <c r="P9" i="12"/>
  <c r="O10" i="12"/>
  <c r="P10" i="12"/>
  <c r="P5" i="12"/>
  <c r="O5" i="12"/>
  <c r="R70" i="12"/>
  <c r="R71" i="12" s="1"/>
  <c r="P63" i="12"/>
  <c r="O63" i="12"/>
  <c r="P62" i="12"/>
  <c r="O62" i="12"/>
  <c r="P61" i="12"/>
  <c r="O61" i="12"/>
  <c r="P60" i="12"/>
  <c r="O60" i="12"/>
  <c r="P59" i="12"/>
  <c r="O59" i="12"/>
  <c r="P58" i="12"/>
  <c r="O58" i="12"/>
  <c r="P57" i="12"/>
  <c r="O57" i="12"/>
  <c r="P56" i="12"/>
  <c r="O56" i="12"/>
  <c r="P55" i="12"/>
  <c r="O55" i="12"/>
  <c r="P54" i="12"/>
  <c r="O54" i="12"/>
  <c r="P53" i="12"/>
  <c r="O53" i="12"/>
  <c r="P52" i="12"/>
  <c r="O52" i="12"/>
  <c r="P51" i="12"/>
  <c r="O51" i="12"/>
  <c r="P50" i="12"/>
  <c r="O50" i="12"/>
  <c r="P49" i="12"/>
  <c r="O49" i="12"/>
  <c r="P48" i="12"/>
  <c r="O48" i="12"/>
  <c r="P47" i="12"/>
  <c r="O47" i="12"/>
  <c r="P46" i="12"/>
  <c r="O46" i="12"/>
  <c r="P45" i="12"/>
  <c r="O45" i="12"/>
  <c r="P44" i="12"/>
  <c r="O44" i="12"/>
  <c r="P43" i="12"/>
  <c r="O43" i="12"/>
  <c r="P42" i="12"/>
  <c r="O42" i="12"/>
  <c r="P41" i="12"/>
  <c r="O41" i="12"/>
  <c r="P40" i="12"/>
  <c r="O40" i="12"/>
  <c r="P39" i="12"/>
  <c r="O39" i="12"/>
  <c r="P38" i="12"/>
  <c r="O38" i="12"/>
  <c r="P37" i="12"/>
  <c r="O37" i="12"/>
  <c r="P36" i="12"/>
  <c r="O36" i="12"/>
  <c r="P35" i="12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O13" i="12"/>
  <c r="P12" i="12"/>
  <c r="O12" i="12"/>
  <c r="P11" i="12"/>
  <c r="O11" i="12"/>
  <c r="Q70" i="12"/>
  <c r="Q71" i="12" l="1"/>
  <c r="O70" i="12"/>
  <c r="N70" i="12" s="1"/>
  <c r="R72" i="12"/>
  <c r="P71" i="12"/>
  <c r="AO98" i="12"/>
  <c r="AP77" i="12"/>
  <c r="N9" i="12"/>
  <c r="N6" i="12"/>
  <c r="N10" i="12"/>
  <c r="N8" i="12"/>
  <c r="N7" i="12"/>
  <c r="N5" i="12"/>
  <c r="R73" i="12" l="1"/>
  <c r="P72" i="12"/>
  <c r="Q72" i="12"/>
  <c r="O71" i="12"/>
  <c r="N71" i="12" s="1"/>
  <c r="AP78" i="12"/>
  <c r="AO99" i="12"/>
  <c r="O72" i="12" l="1"/>
  <c r="N72" i="12" s="1"/>
  <c r="Q73" i="12"/>
  <c r="R74" i="12"/>
  <c r="P73" i="12"/>
  <c r="AO100" i="12"/>
  <c r="AP79" i="12"/>
  <c r="R75" i="12" l="1"/>
  <c r="P74" i="12"/>
  <c r="O73" i="12"/>
  <c r="N73" i="12" s="1"/>
  <c r="Q74" i="12"/>
  <c r="AO101" i="12"/>
  <c r="AP80" i="12"/>
  <c r="O74" i="12" l="1"/>
  <c r="N74" i="12" s="1"/>
  <c r="Q75" i="12"/>
  <c r="R76" i="12"/>
  <c r="P75" i="12"/>
  <c r="AP81" i="12"/>
  <c r="AO102" i="12"/>
  <c r="R77" i="12" l="1"/>
  <c r="P76" i="12"/>
  <c r="O75" i="12"/>
  <c r="N75" i="12" s="1"/>
  <c r="Q76" i="12"/>
  <c r="AO103" i="12"/>
  <c r="AP82" i="12"/>
  <c r="R78" i="12" l="1"/>
  <c r="P77" i="12"/>
  <c r="O76" i="12"/>
  <c r="N76" i="12" s="1"/>
  <c r="Q77" i="12"/>
  <c r="AP83" i="12"/>
  <c r="AO104" i="12"/>
  <c r="O77" i="12" l="1"/>
  <c r="N77" i="12" s="1"/>
  <c r="Q78" i="12"/>
  <c r="R79" i="12"/>
  <c r="P78" i="12"/>
  <c r="AP84" i="12"/>
  <c r="AO105" i="12"/>
  <c r="R80" i="12" l="1"/>
  <c r="P79" i="12"/>
  <c r="O78" i="12"/>
  <c r="N78" i="12" s="1"/>
  <c r="Q79" i="12"/>
  <c r="AO106" i="12"/>
  <c r="AP85" i="12"/>
  <c r="O79" i="12" l="1"/>
  <c r="N79" i="12" s="1"/>
  <c r="Q80" i="12"/>
  <c r="R81" i="12"/>
  <c r="P80" i="12"/>
  <c r="AP86" i="12"/>
  <c r="AO107" i="12"/>
  <c r="R82" i="12" l="1"/>
  <c r="P81" i="12"/>
  <c r="O80" i="12"/>
  <c r="N80" i="12" s="1"/>
  <c r="Q81" i="12"/>
  <c r="AO108" i="12"/>
  <c r="AP87" i="12"/>
  <c r="O81" i="12" l="1"/>
  <c r="N81" i="12" s="1"/>
  <c r="Q82" i="12"/>
  <c r="R83" i="12"/>
  <c r="P82" i="12"/>
  <c r="AO109" i="12"/>
  <c r="AP88" i="12"/>
  <c r="O82" i="12" l="1"/>
  <c r="N82" i="12" s="1"/>
  <c r="Q83" i="12"/>
  <c r="R84" i="12"/>
  <c r="P83" i="12"/>
  <c r="AP89" i="12"/>
  <c r="AO110" i="12"/>
  <c r="R85" i="12" l="1"/>
  <c r="P84" i="12"/>
  <c r="O83" i="12"/>
  <c r="N83" i="12" s="1"/>
  <c r="Q84" i="12"/>
  <c r="AO111" i="12"/>
  <c r="AP90" i="12"/>
  <c r="O84" i="12" l="1"/>
  <c r="N84" i="12" s="1"/>
  <c r="Q85" i="12"/>
  <c r="R86" i="12"/>
  <c r="P85" i="12"/>
  <c r="AP91" i="12"/>
  <c r="AO112" i="12"/>
  <c r="R87" i="12" l="1"/>
  <c r="P86" i="12"/>
  <c r="O85" i="12"/>
  <c r="N85" i="12" s="1"/>
  <c r="Q86" i="12"/>
  <c r="AO113" i="12"/>
  <c r="AP92" i="12"/>
  <c r="O86" i="12" l="1"/>
  <c r="N86" i="12" s="1"/>
  <c r="Q87" i="12"/>
  <c r="R88" i="12"/>
  <c r="P87" i="12"/>
  <c r="AP93" i="12"/>
  <c r="AO114" i="12"/>
  <c r="R89" i="12" l="1"/>
  <c r="P88" i="12"/>
  <c r="O87" i="12"/>
  <c r="N87" i="12" s="1"/>
  <c r="Q88" i="12"/>
  <c r="AO115" i="12"/>
  <c r="AP94" i="12"/>
  <c r="O88" i="12" l="1"/>
  <c r="N88" i="12" s="1"/>
  <c r="Q89" i="12"/>
  <c r="R90" i="12"/>
  <c r="P89" i="12"/>
  <c r="AP95" i="12"/>
  <c r="AO116" i="12"/>
  <c r="R91" i="12" l="1"/>
  <c r="P90" i="12"/>
  <c r="O89" i="12"/>
  <c r="N89" i="12" s="1"/>
  <c r="Q90" i="12"/>
  <c r="AP96" i="12"/>
  <c r="AO117" i="12"/>
  <c r="R92" i="12" l="1"/>
  <c r="P91" i="12"/>
  <c r="O90" i="12"/>
  <c r="N90" i="12" s="1"/>
  <c r="Q91" i="12"/>
  <c r="AO118" i="12"/>
  <c r="AP97" i="12"/>
  <c r="O91" i="12" l="1"/>
  <c r="N91" i="12" s="1"/>
  <c r="Q92" i="12"/>
  <c r="R93" i="12"/>
  <c r="P92" i="12"/>
  <c r="AP98" i="12"/>
  <c r="AO119" i="12"/>
  <c r="R94" i="12" l="1"/>
  <c r="P93" i="12"/>
  <c r="O92" i="12"/>
  <c r="N92" i="12" s="1"/>
  <c r="Q93" i="12"/>
  <c r="AP99" i="12"/>
  <c r="AO120" i="12"/>
  <c r="O93" i="12" l="1"/>
  <c r="N93" i="12" s="1"/>
  <c r="Q94" i="12"/>
  <c r="R95" i="12"/>
  <c r="P94" i="12"/>
  <c r="AO121" i="12"/>
  <c r="AP100" i="12"/>
  <c r="R96" i="12" l="1"/>
  <c r="P95" i="12"/>
  <c r="O94" i="12"/>
  <c r="N94" i="12" s="1"/>
  <c r="Q95" i="12"/>
  <c r="AP101" i="12"/>
  <c r="AO122" i="12"/>
  <c r="O95" i="12" l="1"/>
  <c r="N95" i="12" s="1"/>
  <c r="Q96" i="12"/>
  <c r="R97" i="12"/>
  <c r="P96" i="12"/>
  <c r="AO123" i="12"/>
  <c r="AP102" i="12"/>
  <c r="R98" i="12" l="1"/>
  <c r="P97" i="12"/>
  <c r="O96" i="12"/>
  <c r="N96" i="12" s="1"/>
  <c r="Q97" i="12"/>
  <c r="AP103" i="12"/>
  <c r="AO124" i="12"/>
  <c r="O97" i="12" l="1"/>
  <c r="N97" i="12" s="1"/>
  <c r="Q98" i="12"/>
  <c r="R99" i="12"/>
  <c r="P98" i="12"/>
  <c r="AO125" i="12"/>
  <c r="AP104" i="12"/>
  <c r="O98" i="12" l="1"/>
  <c r="N98" i="12" s="1"/>
  <c r="Q99" i="12"/>
  <c r="R100" i="12"/>
  <c r="P99" i="12"/>
  <c r="AP105" i="12"/>
  <c r="AO126" i="12"/>
  <c r="R101" i="12" l="1"/>
  <c r="P100" i="12"/>
  <c r="O99" i="12"/>
  <c r="N99" i="12" s="1"/>
  <c r="Q100" i="12"/>
  <c r="AO127" i="12"/>
  <c r="AP106" i="12"/>
  <c r="O100" i="12" l="1"/>
  <c r="N100" i="12" s="1"/>
  <c r="Q101" i="12"/>
  <c r="R102" i="12"/>
  <c r="P101" i="12"/>
  <c r="AP107" i="12"/>
  <c r="AO128" i="12"/>
  <c r="R103" i="12" l="1"/>
  <c r="P102" i="12"/>
  <c r="O101" i="12"/>
  <c r="N101" i="12" s="1"/>
  <c r="Q102" i="12"/>
  <c r="AO129" i="12"/>
  <c r="AP108" i="12"/>
  <c r="R104" i="12" l="1"/>
  <c r="P103" i="12"/>
  <c r="O102" i="12"/>
  <c r="N102" i="12" s="1"/>
  <c r="Q103" i="12"/>
  <c r="AP109" i="12"/>
  <c r="AO130" i="12"/>
  <c r="O103" i="12" l="1"/>
  <c r="N103" i="12" s="1"/>
  <c r="Q104" i="12"/>
  <c r="R105" i="12"/>
  <c r="P104" i="12"/>
  <c r="AO131" i="12"/>
  <c r="AP110" i="12"/>
  <c r="R106" i="12" l="1"/>
  <c r="P105" i="12"/>
  <c r="O104" i="12"/>
  <c r="N104" i="12" s="1"/>
  <c r="Q105" i="12"/>
  <c r="AP111" i="12"/>
  <c r="AO132" i="12"/>
  <c r="O105" i="12" l="1"/>
  <c r="N105" i="12" s="1"/>
  <c r="Q106" i="12"/>
  <c r="R107" i="12"/>
  <c r="P106" i="12"/>
  <c r="AO133" i="12"/>
  <c r="AP112" i="12"/>
  <c r="R108" i="12" l="1"/>
  <c r="P107" i="12"/>
  <c r="O106" i="12"/>
  <c r="N106" i="12" s="1"/>
  <c r="Q107" i="12"/>
  <c r="AP113" i="12"/>
  <c r="AO134" i="12"/>
  <c r="O107" i="12" l="1"/>
  <c r="N107" i="12" s="1"/>
  <c r="Q108" i="12"/>
  <c r="R109" i="12"/>
  <c r="P108" i="12"/>
  <c r="AO135" i="12"/>
  <c r="AP114" i="12"/>
  <c r="R110" i="12" l="1"/>
  <c r="P109" i="12"/>
  <c r="O108" i="12"/>
  <c r="N108" i="12" s="1"/>
  <c r="Q109" i="12"/>
  <c r="AO136" i="12"/>
  <c r="AP115" i="12"/>
  <c r="O109" i="12" l="1"/>
  <c r="N109" i="12" s="1"/>
  <c r="Q110" i="12"/>
  <c r="R111" i="12"/>
  <c r="P110" i="12"/>
  <c r="AP116" i="12"/>
  <c r="AO137" i="12"/>
  <c r="R112" i="12" l="1"/>
  <c r="P111" i="12"/>
  <c r="O110" i="12"/>
  <c r="N110" i="12" s="1"/>
  <c r="Q111" i="12"/>
  <c r="AP117" i="12"/>
  <c r="AO138" i="12"/>
  <c r="O111" i="12" l="1"/>
  <c r="N111" i="12" s="1"/>
  <c r="Q112" i="12"/>
  <c r="R113" i="12"/>
  <c r="P112" i="12"/>
  <c r="AO139" i="12"/>
  <c r="AP118" i="12"/>
  <c r="R114" i="12" l="1"/>
  <c r="P113" i="12"/>
  <c r="O112" i="12"/>
  <c r="N112" i="12" s="1"/>
  <c r="Q113" i="12"/>
  <c r="AO140" i="12"/>
  <c r="AP119" i="12"/>
  <c r="O113" i="12" l="1"/>
  <c r="N113" i="12" s="1"/>
  <c r="Q114" i="12"/>
  <c r="R115" i="12"/>
  <c r="P114" i="12"/>
  <c r="AP120" i="12"/>
  <c r="AO141" i="12"/>
  <c r="R116" i="12" l="1"/>
  <c r="P115" i="12"/>
  <c r="O114" i="12"/>
  <c r="N114" i="12" s="1"/>
  <c r="Q115" i="12"/>
  <c r="AO142" i="12"/>
  <c r="AP121" i="12"/>
  <c r="O115" i="12" l="1"/>
  <c r="N115" i="12" s="1"/>
  <c r="Q116" i="12"/>
  <c r="R117" i="12"/>
  <c r="P116" i="12"/>
  <c r="AO143" i="12"/>
  <c r="AP122" i="12"/>
  <c r="R118" i="12" l="1"/>
  <c r="P117" i="12"/>
  <c r="O116" i="12"/>
  <c r="N116" i="12" s="1"/>
  <c r="Q117" i="12"/>
  <c r="AO144" i="12"/>
  <c r="AP123" i="12"/>
  <c r="O117" i="12" l="1"/>
  <c r="N117" i="12" s="1"/>
  <c r="Q118" i="12"/>
  <c r="R119" i="12"/>
  <c r="P118" i="12"/>
  <c r="AO145" i="12"/>
  <c r="AP124" i="12"/>
  <c r="O118" i="12" l="1"/>
  <c r="N118" i="12" s="1"/>
  <c r="Q119" i="12"/>
  <c r="R120" i="12"/>
  <c r="P119" i="12"/>
  <c r="AO146" i="12"/>
  <c r="AP125" i="12"/>
  <c r="R121" i="12" l="1"/>
  <c r="P120" i="12"/>
  <c r="O119" i="12"/>
  <c r="N119" i="12" s="1"/>
  <c r="Q120" i="12"/>
  <c r="AP126" i="12"/>
  <c r="AO147" i="12"/>
  <c r="O120" i="12" l="1"/>
  <c r="N120" i="12" s="1"/>
  <c r="Q121" i="12"/>
  <c r="R122" i="12"/>
  <c r="P121" i="12"/>
  <c r="AO148" i="12"/>
  <c r="AP127" i="12"/>
  <c r="O121" i="12" l="1"/>
  <c r="N121" i="12" s="1"/>
  <c r="Q122" i="12"/>
  <c r="R123" i="12"/>
  <c r="P122" i="12"/>
  <c r="AP128" i="12"/>
  <c r="R124" i="12" l="1"/>
  <c r="P123" i="12"/>
  <c r="O122" i="12"/>
  <c r="N122" i="12" s="1"/>
  <c r="Q123" i="12"/>
  <c r="AP129" i="12"/>
  <c r="O123" i="12" l="1"/>
  <c r="N123" i="12" s="1"/>
  <c r="Q124" i="12"/>
  <c r="R125" i="12"/>
  <c r="P124" i="12"/>
  <c r="AP130" i="12"/>
  <c r="R126" i="12" l="1"/>
  <c r="P125" i="12"/>
  <c r="O124" i="12"/>
  <c r="N124" i="12" s="1"/>
  <c r="Q125" i="12"/>
  <c r="AP131" i="12"/>
  <c r="O125" i="12" l="1"/>
  <c r="N125" i="12" s="1"/>
  <c r="Q126" i="12"/>
  <c r="R127" i="12"/>
  <c r="P126" i="12"/>
  <c r="AP132" i="12"/>
  <c r="R128" i="12" l="1"/>
  <c r="P127" i="12"/>
  <c r="O126" i="12"/>
  <c r="N126" i="12" s="1"/>
  <c r="Q127" i="12"/>
  <c r="AP133" i="12"/>
  <c r="O127" i="12" l="1"/>
  <c r="N127" i="12" s="1"/>
  <c r="Q128" i="12"/>
  <c r="R129" i="12"/>
  <c r="P128" i="12"/>
  <c r="AP134" i="12"/>
  <c r="R130" i="12" l="1"/>
  <c r="P129" i="12"/>
  <c r="O128" i="12"/>
  <c r="N128" i="12" s="1"/>
  <c r="Q129" i="12"/>
  <c r="AP135" i="12"/>
  <c r="O129" i="12" l="1"/>
  <c r="N129" i="12" s="1"/>
  <c r="Q130" i="12"/>
  <c r="R131" i="12"/>
  <c r="P130" i="12"/>
  <c r="AP136" i="12"/>
  <c r="R132" i="12" l="1"/>
  <c r="P131" i="12"/>
  <c r="O130" i="12"/>
  <c r="N130" i="12" s="1"/>
  <c r="Q131" i="12"/>
  <c r="AP137" i="12"/>
  <c r="O131" i="12" l="1"/>
  <c r="N131" i="12" s="1"/>
  <c r="Q132" i="12"/>
  <c r="R133" i="12"/>
  <c r="P132" i="12"/>
  <c r="AP138" i="12"/>
  <c r="R134" i="12" l="1"/>
  <c r="P133" i="12"/>
  <c r="O132" i="12"/>
  <c r="N132" i="12" s="1"/>
  <c r="Q133" i="12"/>
  <c r="AP139" i="12"/>
  <c r="O133" i="12" l="1"/>
  <c r="N133" i="12" s="1"/>
  <c r="Q134" i="12"/>
  <c r="R135" i="12"/>
  <c r="P134" i="12"/>
  <c r="AP140" i="12"/>
  <c r="O134" i="12" l="1"/>
  <c r="N134" i="12" s="1"/>
  <c r="Q135" i="12"/>
  <c r="R136" i="12"/>
  <c r="P135" i="12"/>
  <c r="AP141" i="12"/>
  <c r="R137" i="12" l="1"/>
  <c r="P136" i="12"/>
  <c r="O135" i="12"/>
  <c r="N135" i="12" s="1"/>
  <c r="Q136" i="12"/>
  <c r="AP142" i="12"/>
  <c r="O136" i="12" l="1"/>
  <c r="N136" i="12" s="1"/>
  <c r="Q137" i="12"/>
  <c r="R138" i="12"/>
  <c r="P137" i="12"/>
  <c r="AP143" i="12"/>
  <c r="R139" i="12" l="1"/>
  <c r="P138" i="12"/>
  <c r="O137" i="12"/>
  <c r="N137" i="12" s="1"/>
  <c r="Q138" i="12"/>
  <c r="AP144" i="12"/>
  <c r="O138" i="12" l="1"/>
  <c r="N138" i="12" s="1"/>
  <c r="Q139" i="12"/>
  <c r="R140" i="12"/>
  <c r="P139" i="12"/>
  <c r="AP145" i="12"/>
  <c r="R141" i="12" l="1"/>
  <c r="P140" i="12"/>
  <c r="O139" i="12"/>
  <c r="N139" i="12" s="1"/>
  <c r="Q140" i="12"/>
  <c r="AP146" i="12"/>
  <c r="O140" i="12" l="1"/>
  <c r="N140" i="12" s="1"/>
  <c r="Q141" i="12"/>
  <c r="R142" i="12"/>
  <c r="P141" i="12"/>
  <c r="AP147" i="12"/>
  <c r="R143" i="12" l="1"/>
  <c r="P142" i="12"/>
  <c r="O141" i="12"/>
  <c r="N141" i="12" s="1"/>
  <c r="Q142" i="12"/>
  <c r="AP148" i="12"/>
  <c r="O142" i="12" l="1"/>
  <c r="N142" i="12" s="1"/>
  <c r="Q143" i="12"/>
  <c r="R144" i="12"/>
  <c r="P143" i="12"/>
  <c r="R145" i="12" l="1"/>
  <c r="P144" i="12"/>
  <c r="O143" i="12"/>
  <c r="N143" i="12" s="1"/>
  <c r="Q144" i="12"/>
  <c r="O144" i="12" l="1"/>
  <c r="N144" i="12" s="1"/>
  <c r="Q145" i="12"/>
  <c r="R146" i="12"/>
  <c r="P145" i="12"/>
  <c r="R147" i="12" l="1"/>
  <c r="P146" i="12"/>
  <c r="O145" i="12"/>
  <c r="N145" i="12" s="1"/>
  <c r="Q146" i="12"/>
  <c r="O146" i="12" l="1"/>
  <c r="N146" i="12" s="1"/>
  <c r="Q147" i="12"/>
  <c r="R148" i="12"/>
  <c r="P148" i="12" s="1"/>
  <c r="P147" i="12"/>
  <c r="N12" i="12"/>
  <c r="N14" i="12"/>
  <c r="N15" i="12"/>
  <c r="N16" i="12"/>
  <c r="N19" i="12"/>
  <c r="N20" i="12"/>
  <c r="N21" i="12"/>
  <c r="N22" i="12"/>
  <c r="N24" i="12"/>
  <c r="N25" i="12"/>
  <c r="N27" i="12"/>
  <c r="N28" i="12"/>
  <c r="N29" i="12"/>
  <c r="N30" i="12"/>
  <c r="K32" i="12"/>
  <c r="N33" i="12"/>
  <c r="N35" i="12"/>
  <c r="N36" i="12"/>
  <c r="N37" i="12"/>
  <c r="N38" i="12"/>
  <c r="N41" i="12"/>
  <c r="N43" i="12"/>
  <c r="N44" i="12"/>
  <c r="N45" i="12"/>
  <c r="N46" i="12"/>
  <c r="K48" i="12"/>
  <c r="N49" i="12"/>
  <c r="N51" i="12"/>
  <c r="N52" i="12"/>
  <c r="N53" i="12"/>
  <c r="N54" i="12"/>
  <c r="N56" i="12"/>
  <c r="N57" i="12"/>
  <c r="N59" i="12"/>
  <c r="N60" i="12"/>
  <c r="N61" i="12"/>
  <c r="N62" i="12"/>
  <c r="N11" i="12"/>
  <c r="O147" i="12" l="1"/>
  <c r="N147" i="12" s="1"/>
  <c r="Q148" i="12"/>
  <c r="O148" i="12" s="1"/>
  <c r="N148" i="12" s="1"/>
  <c r="K38" i="12"/>
  <c r="K13" i="12"/>
  <c r="K62" i="12"/>
  <c r="K34" i="12"/>
  <c r="K30" i="12"/>
  <c r="K46" i="12"/>
  <c r="K54" i="12"/>
  <c r="K40" i="12"/>
  <c r="K22" i="12"/>
  <c r="K14" i="12"/>
  <c r="K50" i="12"/>
  <c r="K18" i="12"/>
  <c r="K58" i="12"/>
  <c r="K26" i="12"/>
  <c r="K42" i="12"/>
  <c r="K17" i="12"/>
  <c r="K15" i="12"/>
  <c r="N48" i="12"/>
  <c r="N40" i="12"/>
  <c r="N32" i="12"/>
  <c r="N17" i="12"/>
  <c r="K11" i="12"/>
  <c r="N58" i="12"/>
  <c r="N50" i="12"/>
  <c r="N42" i="12"/>
  <c r="N34" i="12"/>
  <c r="N26" i="12"/>
  <c r="N18" i="12"/>
  <c r="K64" i="12"/>
  <c r="K60" i="12"/>
  <c r="K56" i="12"/>
  <c r="K52" i="12"/>
  <c r="K44" i="12"/>
  <c r="K36" i="12"/>
  <c r="K28" i="12"/>
  <c r="K24" i="12"/>
  <c r="K20" i="12"/>
  <c r="K16" i="12"/>
  <c r="K12" i="12"/>
  <c r="N63" i="12"/>
  <c r="N55" i="12"/>
  <c r="N47" i="12"/>
  <c r="N39" i="12"/>
  <c r="N31" i="12"/>
  <c r="N23" i="12"/>
  <c r="N13" i="12"/>
  <c r="K63" i="12"/>
  <c r="K61" i="12"/>
  <c r="K59" i="12"/>
  <c r="K57" i="12"/>
  <c r="K55" i="12"/>
  <c r="K53" i="12"/>
  <c r="K51" i="12"/>
  <c r="K49" i="12"/>
  <c r="K47" i="12"/>
  <c r="K45" i="12"/>
  <c r="K43" i="12"/>
  <c r="K41" i="12"/>
  <c r="K39" i="12"/>
  <c r="K37" i="12"/>
  <c r="K35" i="12"/>
  <c r="K33" i="12"/>
  <c r="K31" i="12"/>
  <c r="K29" i="12"/>
  <c r="K27" i="12"/>
  <c r="K25" i="12"/>
  <c r="K23" i="12"/>
  <c r="K21" i="12"/>
  <c r="K19" i="12"/>
  <c r="G4" i="14" l="1"/>
  <c r="Y118" i="12" l="1"/>
  <c r="X118" i="12"/>
  <c r="Y117" i="12"/>
  <c r="X117" i="12"/>
  <c r="Y116" i="12"/>
  <c r="X116" i="12"/>
  <c r="Y115" i="12"/>
  <c r="X115" i="12"/>
  <c r="Y114" i="12"/>
  <c r="X114" i="12"/>
  <c r="Y113" i="12"/>
  <c r="X113" i="12"/>
  <c r="Y112" i="12"/>
  <c r="X112" i="12"/>
  <c r="Y111" i="12"/>
  <c r="X111" i="12"/>
  <c r="Y110" i="12"/>
  <c r="X110" i="12"/>
  <c r="Y109" i="12"/>
  <c r="X109" i="12"/>
  <c r="Y108" i="12"/>
  <c r="X108" i="12"/>
  <c r="Y107" i="12"/>
  <c r="X107" i="12"/>
  <c r="Y106" i="12"/>
  <c r="X106" i="12"/>
  <c r="Y105" i="12"/>
  <c r="X105" i="12"/>
  <c r="Y104" i="12"/>
  <c r="X104" i="12"/>
  <c r="Y103" i="12"/>
  <c r="X103" i="12"/>
  <c r="Y102" i="12"/>
  <c r="X102" i="12"/>
  <c r="Y101" i="12"/>
  <c r="X101" i="12"/>
  <c r="Y100" i="12"/>
  <c r="X100" i="12"/>
  <c r="Y99" i="12"/>
  <c r="X99" i="12"/>
  <c r="Y98" i="12"/>
  <c r="X98" i="12"/>
  <c r="Y97" i="12"/>
  <c r="X97" i="12"/>
  <c r="Y96" i="12"/>
  <c r="X96" i="12"/>
  <c r="Y95" i="12"/>
  <c r="X95" i="12"/>
  <c r="Y94" i="12"/>
  <c r="X94" i="12"/>
  <c r="Y93" i="12"/>
  <c r="X93" i="12"/>
  <c r="Y92" i="12"/>
  <c r="X92" i="12"/>
  <c r="Y91" i="12"/>
  <c r="X91" i="12"/>
  <c r="Y90" i="12"/>
  <c r="X90" i="12"/>
  <c r="Y89" i="12"/>
  <c r="X89" i="12"/>
  <c r="Y88" i="12"/>
  <c r="X88" i="12"/>
  <c r="Y87" i="12"/>
  <c r="X87" i="12"/>
  <c r="Y86" i="12"/>
  <c r="X86" i="12"/>
  <c r="Y85" i="12"/>
  <c r="X85" i="12"/>
  <c r="Y84" i="12"/>
  <c r="X84" i="12"/>
  <c r="Y83" i="12"/>
  <c r="X83" i="12"/>
  <c r="Y82" i="12"/>
  <c r="X82" i="12"/>
  <c r="Y81" i="12"/>
  <c r="X81" i="12"/>
  <c r="Y80" i="12"/>
  <c r="X80" i="12"/>
  <c r="Y79" i="12"/>
  <c r="X79" i="12"/>
  <c r="Y78" i="12"/>
  <c r="X78" i="12"/>
  <c r="Y77" i="12"/>
  <c r="X77" i="12"/>
  <c r="Y76" i="12"/>
  <c r="X76" i="12"/>
  <c r="Y75" i="12"/>
  <c r="X75" i="12"/>
  <c r="Y74" i="12"/>
  <c r="X74" i="12"/>
  <c r="Y73" i="12"/>
  <c r="X73" i="12"/>
  <c r="Y72" i="12"/>
  <c r="X72" i="12"/>
  <c r="Y71" i="12"/>
  <c r="X71" i="12"/>
  <c r="Y70" i="12"/>
  <c r="X70" i="12"/>
  <c r="Y69" i="12"/>
  <c r="X69" i="12"/>
  <c r="Y68" i="12"/>
  <c r="X68" i="12"/>
  <c r="Y67" i="12"/>
  <c r="X67" i="12"/>
  <c r="Y65" i="12"/>
  <c r="X65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U69" i="12"/>
  <c r="T69" i="12"/>
  <c r="U68" i="12"/>
  <c r="T68" i="12"/>
  <c r="U67" i="12"/>
  <c r="T67" i="12"/>
  <c r="U66" i="12"/>
  <c r="T66" i="12"/>
  <c r="U65" i="12"/>
  <c r="T65" i="12"/>
  <c r="B119" i="63"/>
  <c r="B120" i="63" s="1"/>
  <c r="B121" i="63" s="1"/>
  <c r="B122" i="63" s="1"/>
  <c r="B123" i="63" s="1"/>
  <c r="B124" i="63" s="1"/>
  <c r="B125" i="63" s="1"/>
  <c r="B126" i="63" s="1"/>
  <c r="B127" i="63" s="1"/>
  <c r="B118" i="63"/>
  <c r="C77" i="63"/>
  <c r="C78" i="63" s="1"/>
  <c r="C79" i="63" s="1"/>
  <c r="C80" i="63" s="1"/>
  <c r="C81" i="63" s="1"/>
  <c r="C82" i="63" s="1"/>
  <c r="C83" i="63" s="1"/>
  <c r="C84" i="63" s="1"/>
  <c r="C85" i="63" s="1"/>
  <c r="C86" i="63" s="1"/>
  <c r="C87" i="63" s="1"/>
  <c r="C88" i="63" s="1"/>
  <c r="C89" i="63" s="1"/>
  <c r="C90" i="63" s="1"/>
  <c r="C91" i="63" s="1"/>
  <c r="C92" i="63" s="1"/>
  <c r="C93" i="63" s="1"/>
  <c r="C94" i="63" s="1"/>
  <c r="C95" i="63" s="1"/>
  <c r="C96" i="63" s="1"/>
  <c r="C97" i="63" s="1"/>
  <c r="C98" i="63" s="1"/>
  <c r="C99" i="63" s="1"/>
  <c r="C100" i="63" s="1"/>
  <c r="C101" i="63" s="1"/>
  <c r="C102" i="63" s="1"/>
  <c r="C103" i="63" s="1"/>
  <c r="C104" i="63" s="1"/>
  <c r="C105" i="63" s="1"/>
  <c r="C106" i="63" s="1"/>
  <c r="C107" i="63" s="1"/>
  <c r="C108" i="63" s="1"/>
  <c r="C109" i="63" s="1"/>
  <c r="C110" i="63" s="1"/>
  <c r="C111" i="63" s="1"/>
  <c r="C112" i="63" s="1"/>
  <c r="C113" i="63" s="1"/>
  <c r="C114" i="63" s="1"/>
  <c r="C115" i="63" s="1"/>
  <c r="C116" i="63" s="1"/>
  <c r="C117" i="63" s="1"/>
  <c r="C118" i="63" s="1"/>
  <c r="C119" i="63" s="1"/>
  <c r="C120" i="63" s="1"/>
  <c r="C121" i="63" s="1"/>
  <c r="C122" i="63" s="1"/>
  <c r="C123" i="63" s="1"/>
  <c r="C124" i="63" s="1"/>
  <c r="C125" i="63" s="1"/>
  <c r="C126" i="63" s="1"/>
  <c r="C127" i="63" s="1"/>
  <c r="G76" i="63"/>
  <c r="D76" i="63"/>
  <c r="D77" i="63" s="1"/>
  <c r="D78" i="63" s="1"/>
  <c r="D79" i="63" s="1"/>
  <c r="D80" i="63" s="1"/>
  <c r="D81" i="63" s="1"/>
  <c r="D82" i="63" s="1"/>
  <c r="D83" i="63" s="1"/>
  <c r="D84" i="63" s="1"/>
  <c r="D85" i="63" s="1"/>
  <c r="D86" i="63" s="1"/>
  <c r="D87" i="63" s="1"/>
  <c r="D88" i="63" s="1"/>
  <c r="D89" i="63" s="1"/>
  <c r="D90" i="63" s="1"/>
  <c r="D91" i="63" s="1"/>
  <c r="D92" i="63" s="1"/>
  <c r="D93" i="63" s="1"/>
  <c r="D94" i="63" s="1"/>
  <c r="D95" i="63" s="1"/>
  <c r="D96" i="63" s="1"/>
  <c r="D97" i="63" s="1"/>
  <c r="D98" i="63" s="1"/>
  <c r="D99" i="63" s="1"/>
  <c r="D100" i="63" s="1"/>
  <c r="D101" i="63" s="1"/>
  <c r="D102" i="63" s="1"/>
  <c r="D103" i="63" s="1"/>
  <c r="D104" i="63" s="1"/>
  <c r="D105" i="63" s="1"/>
  <c r="D106" i="63" s="1"/>
  <c r="D107" i="63" s="1"/>
  <c r="D108" i="63" s="1"/>
  <c r="D109" i="63" s="1"/>
  <c r="D110" i="63" s="1"/>
  <c r="D111" i="63" s="1"/>
  <c r="D112" i="63" s="1"/>
  <c r="D113" i="63" s="1"/>
  <c r="D114" i="63" s="1"/>
  <c r="D115" i="63" s="1"/>
  <c r="D116" i="63" s="1"/>
  <c r="D117" i="63" s="1"/>
  <c r="D118" i="63" s="1"/>
  <c r="D119" i="63" s="1"/>
  <c r="D120" i="63" s="1"/>
  <c r="D121" i="63" s="1"/>
  <c r="D122" i="63" s="1"/>
  <c r="D123" i="63" s="1"/>
  <c r="D124" i="63" s="1"/>
  <c r="D125" i="63" s="1"/>
  <c r="D126" i="63" s="1"/>
  <c r="D127" i="63" s="1"/>
  <c r="G75" i="63"/>
  <c r="E75" i="63"/>
  <c r="F75" i="63" s="1"/>
  <c r="D75" i="63"/>
  <c r="H75" i="63" s="1"/>
  <c r="G74" i="63"/>
  <c r="D74" i="63"/>
  <c r="E74" i="63" s="1"/>
  <c r="G73" i="63"/>
  <c r="E73" i="63"/>
  <c r="D73" i="63"/>
  <c r="H73" i="63" s="1"/>
  <c r="G72" i="63"/>
  <c r="D72" i="63"/>
  <c r="H72" i="63" s="1"/>
  <c r="G71" i="63"/>
  <c r="E71" i="63"/>
  <c r="F71" i="63" s="1"/>
  <c r="D71" i="63"/>
  <c r="H71" i="63" s="1"/>
  <c r="G70" i="63"/>
  <c r="F70" i="63"/>
  <c r="D70" i="63"/>
  <c r="E70" i="63" s="1"/>
  <c r="G69" i="63"/>
  <c r="E69" i="63"/>
  <c r="D69" i="63"/>
  <c r="H69" i="63" s="1"/>
  <c r="H68" i="63"/>
  <c r="G68" i="63"/>
  <c r="F68" i="63"/>
  <c r="J68" i="63" s="1"/>
  <c r="D68" i="63"/>
  <c r="E68" i="63" s="1"/>
  <c r="G67" i="63"/>
  <c r="E67" i="63"/>
  <c r="F67" i="63" s="1"/>
  <c r="D67" i="63"/>
  <c r="H66" i="63"/>
  <c r="G66" i="63"/>
  <c r="D66" i="63"/>
  <c r="E66" i="63" s="1"/>
  <c r="I66" i="63" s="1"/>
  <c r="G65" i="63"/>
  <c r="E65" i="63"/>
  <c r="F65" i="63" s="1"/>
  <c r="D65" i="63"/>
  <c r="G64" i="63"/>
  <c r="D64" i="63"/>
  <c r="G63" i="63"/>
  <c r="E63" i="63"/>
  <c r="F63" i="63" s="1"/>
  <c r="D63" i="63"/>
  <c r="H63" i="63" s="1"/>
  <c r="G62" i="63"/>
  <c r="F62" i="63"/>
  <c r="D62" i="63"/>
  <c r="E62" i="63" s="1"/>
  <c r="G61" i="63"/>
  <c r="E61" i="63"/>
  <c r="D61" i="63"/>
  <c r="H61" i="63" s="1"/>
  <c r="H60" i="63"/>
  <c r="G60" i="63"/>
  <c r="F60" i="63"/>
  <c r="J60" i="63" s="1"/>
  <c r="D60" i="63"/>
  <c r="E60" i="63" s="1"/>
  <c r="G59" i="63"/>
  <c r="E59" i="63"/>
  <c r="F59" i="63" s="1"/>
  <c r="D59" i="63"/>
  <c r="H58" i="63"/>
  <c r="G58" i="63"/>
  <c r="D58" i="63"/>
  <c r="E58" i="63" s="1"/>
  <c r="I58" i="63" s="1"/>
  <c r="G57" i="63"/>
  <c r="E57" i="63"/>
  <c r="F57" i="63" s="1"/>
  <c r="D57" i="63"/>
  <c r="G56" i="63"/>
  <c r="D56" i="63"/>
  <c r="G55" i="63"/>
  <c r="E55" i="63"/>
  <c r="F55" i="63" s="1"/>
  <c r="D55" i="63"/>
  <c r="H55" i="63" s="1"/>
  <c r="G54" i="63"/>
  <c r="F54" i="63"/>
  <c r="D54" i="63"/>
  <c r="E54" i="63" s="1"/>
  <c r="G53" i="63"/>
  <c r="E53" i="63"/>
  <c r="D53" i="63"/>
  <c r="H53" i="63" s="1"/>
  <c r="G52" i="63"/>
  <c r="F52" i="63"/>
  <c r="D52" i="63"/>
  <c r="E52" i="63" s="1"/>
  <c r="H51" i="63"/>
  <c r="G51" i="63"/>
  <c r="D51" i="63"/>
  <c r="G50" i="63"/>
  <c r="D50" i="63"/>
  <c r="E50" i="63" s="1"/>
  <c r="G49" i="63"/>
  <c r="F49" i="63"/>
  <c r="E49" i="63"/>
  <c r="D49" i="63"/>
  <c r="H49" i="63" s="1"/>
  <c r="G48" i="63"/>
  <c r="E48" i="63"/>
  <c r="D48" i="63"/>
  <c r="G47" i="63"/>
  <c r="D47" i="63"/>
  <c r="G46" i="63"/>
  <c r="D46" i="63"/>
  <c r="E46" i="63" s="1"/>
  <c r="J45" i="63"/>
  <c r="G45" i="63"/>
  <c r="F45" i="63"/>
  <c r="E45" i="63"/>
  <c r="D45" i="63"/>
  <c r="H45" i="63" s="1"/>
  <c r="I44" i="63"/>
  <c r="G44" i="63"/>
  <c r="E44" i="63"/>
  <c r="F44" i="63" s="1"/>
  <c r="D44" i="63"/>
  <c r="H44" i="63" s="1"/>
  <c r="H43" i="63"/>
  <c r="G43" i="63"/>
  <c r="D43" i="63"/>
  <c r="E43" i="63" s="1"/>
  <c r="G42" i="63"/>
  <c r="D42" i="63"/>
  <c r="E42" i="63" s="1"/>
  <c r="G41" i="63"/>
  <c r="F41" i="63"/>
  <c r="E41" i="63"/>
  <c r="I41" i="63" s="1"/>
  <c r="D41" i="63"/>
  <c r="H41" i="63" s="1"/>
  <c r="G40" i="63"/>
  <c r="E40" i="63"/>
  <c r="D40" i="63"/>
  <c r="G39" i="63"/>
  <c r="D39" i="63"/>
  <c r="G38" i="63"/>
  <c r="D38" i="63"/>
  <c r="E38" i="63" s="1"/>
  <c r="J37" i="63"/>
  <c r="G37" i="63"/>
  <c r="F37" i="63"/>
  <c r="E37" i="63"/>
  <c r="D37" i="63"/>
  <c r="H37" i="63" s="1"/>
  <c r="I36" i="63"/>
  <c r="G36" i="63"/>
  <c r="E36" i="63"/>
  <c r="F36" i="63" s="1"/>
  <c r="D36" i="63"/>
  <c r="H36" i="63" s="1"/>
  <c r="H35" i="63"/>
  <c r="G35" i="63"/>
  <c r="D35" i="63"/>
  <c r="E35" i="63" s="1"/>
  <c r="G34" i="63"/>
  <c r="D34" i="63"/>
  <c r="E34" i="63" s="1"/>
  <c r="G33" i="63"/>
  <c r="F33" i="63"/>
  <c r="E33" i="63"/>
  <c r="D33" i="63"/>
  <c r="H33" i="63" s="1"/>
  <c r="G32" i="63"/>
  <c r="E32" i="63"/>
  <c r="D32" i="63"/>
  <c r="G31" i="63"/>
  <c r="D31" i="63"/>
  <c r="G30" i="63"/>
  <c r="D30" i="63"/>
  <c r="E30" i="63" s="1"/>
  <c r="J29" i="63"/>
  <c r="G29" i="63"/>
  <c r="F29" i="63"/>
  <c r="E29" i="63"/>
  <c r="D29" i="63"/>
  <c r="H29" i="63" s="1"/>
  <c r="I28" i="63"/>
  <c r="G28" i="63"/>
  <c r="E28" i="63"/>
  <c r="F28" i="63" s="1"/>
  <c r="D28" i="63"/>
  <c r="H28" i="63" s="1"/>
  <c r="H27" i="63"/>
  <c r="G27" i="63"/>
  <c r="D27" i="63"/>
  <c r="E27" i="63" s="1"/>
  <c r="G26" i="63"/>
  <c r="D26" i="63"/>
  <c r="E26" i="63" s="1"/>
  <c r="G25" i="63"/>
  <c r="F25" i="63"/>
  <c r="E25" i="63"/>
  <c r="D25" i="63"/>
  <c r="H25" i="63" s="1"/>
  <c r="G24" i="63"/>
  <c r="E24" i="63"/>
  <c r="D24" i="63"/>
  <c r="G23" i="63"/>
  <c r="D23" i="63"/>
  <c r="G22" i="63"/>
  <c r="D22" i="63"/>
  <c r="E22" i="63" s="1"/>
  <c r="J21" i="63"/>
  <c r="G21" i="63"/>
  <c r="F21" i="63"/>
  <c r="E21" i="63"/>
  <c r="D21" i="63"/>
  <c r="H21" i="63" s="1"/>
  <c r="I20" i="63"/>
  <c r="G20" i="63"/>
  <c r="E20" i="63"/>
  <c r="F20" i="63" s="1"/>
  <c r="D20" i="63"/>
  <c r="H20" i="63" s="1"/>
  <c r="H19" i="63"/>
  <c r="G19" i="63"/>
  <c r="D19" i="63"/>
  <c r="E19" i="63" s="1"/>
  <c r="G18" i="63"/>
  <c r="D18" i="63"/>
  <c r="E18" i="63" s="1"/>
  <c r="G17" i="63"/>
  <c r="F17" i="63"/>
  <c r="E17" i="63"/>
  <c r="I17" i="63" s="1"/>
  <c r="D17" i="63"/>
  <c r="H17" i="63" s="1"/>
  <c r="G16" i="63"/>
  <c r="E16" i="63"/>
  <c r="D16" i="63"/>
  <c r="G15" i="63"/>
  <c r="D15" i="63"/>
  <c r="G14" i="63"/>
  <c r="D14" i="63"/>
  <c r="E14" i="63" s="1"/>
  <c r="J13" i="63"/>
  <c r="G13" i="63"/>
  <c r="F13" i="63"/>
  <c r="E13" i="63"/>
  <c r="D13" i="63"/>
  <c r="H13" i="63" s="1"/>
  <c r="I12" i="63"/>
  <c r="G12" i="63"/>
  <c r="E12" i="63"/>
  <c r="F12" i="63" s="1"/>
  <c r="D12" i="63"/>
  <c r="H12" i="63" s="1"/>
  <c r="H11" i="63"/>
  <c r="G11" i="63"/>
  <c r="D11" i="63"/>
  <c r="E11" i="63" s="1"/>
  <c r="G10" i="63"/>
  <c r="D10" i="63"/>
  <c r="E10" i="63" s="1"/>
  <c r="G9" i="63"/>
  <c r="F9" i="63"/>
  <c r="E9" i="63"/>
  <c r="I9" i="63" s="1"/>
  <c r="D9" i="63"/>
  <c r="H9" i="63" s="1"/>
  <c r="G8" i="63"/>
  <c r="E8" i="63"/>
  <c r="D8" i="63"/>
  <c r="G7" i="63"/>
  <c r="D7" i="63"/>
  <c r="D6" i="63"/>
  <c r="E6" i="63" s="1"/>
  <c r="F6" i="63" s="1"/>
  <c r="N127" i="62"/>
  <c r="M127" i="62"/>
  <c r="L127" i="62"/>
  <c r="K127" i="62"/>
  <c r="H127" i="62"/>
  <c r="P127" i="62" s="1"/>
  <c r="G127" i="62"/>
  <c r="O127" i="62" s="1"/>
  <c r="N126" i="62"/>
  <c r="M126" i="62"/>
  <c r="L126" i="62"/>
  <c r="K126" i="62"/>
  <c r="H126" i="62"/>
  <c r="P126" i="62" s="1"/>
  <c r="G126" i="62"/>
  <c r="O125" i="62"/>
  <c r="N125" i="62"/>
  <c r="M125" i="62"/>
  <c r="L125" i="62"/>
  <c r="K125" i="62"/>
  <c r="H125" i="62"/>
  <c r="P125" i="62" s="1"/>
  <c r="G125" i="62"/>
  <c r="O126" i="62" s="1"/>
  <c r="N124" i="62"/>
  <c r="M124" i="62"/>
  <c r="L124" i="62"/>
  <c r="K124" i="62"/>
  <c r="H124" i="62"/>
  <c r="P124" i="62" s="1"/>
  <c r="G124" i="62"/>
  <c r="O124" i="62" s="1"/>
  <c r="N123" i="62"/>
  <c r="M123" i="62"/>
  <c r="L123" i="62"/>
  <c r="K123" i="62"/>
  <c r="H123" i="62"/>
  <c r="P123" i="62" s="1"/>
  <c r="G123" i="62"/>
  <c r="O123" i="62" s="1"/>
  <c r="N122" i="62"/>
  <c r="M122" i="62"/>
  <c r="L122" i="62"/>
  <c r="K122" i="62"/>
  <c r="H122" i="62"/>
  <c r="P122" i="62" s="1"/>
  <c r="G122" i="62"/>
  <c r="O121" i="62"/>
  <c r="N121" i="62"/>
  <c r="M121" i="62"/>
  <c r="L121" i="62"/>
  <c r="K121" i="62"/>
  <c r="H121" i="62"/>
  <c r="P121" i="62" s="1"/>
  <c r="G121" i="62"/>
  <c r="O122" i="62" s="1"/>
  <c r="N120" i="62"/>
  <c r="M120" i="62"/>
  <c r="L120" i="62"/>
  <c r="K120" i="62"/>
  <c r="H120" i="62"/>
  <c r="P120" i="62" s="1"/>
  <c r="G120" i="62"/>
  <c r="N119" i="62"/>
  <c r="M119" i="62"/>
  <c r="L119" i="62"/>
  <c r="K119" i="62"/>
  <c r="H119" i="62"/>
  <c r="P119" i="62" s="1"/>
  <c r="G119" i="62"/>
  <c r="O119" i="62" s="1"/>
  <c r="N118" i="62"/>
  <c r="M118" i="62"/>
  <c r="L118" i="62"/>
  <c r="K118" i="62"/>
  <c r="H118" i="62"/>
  <c r="G118" i="62"/>
  <c r="O118" i="62" s="1"/>
  <c r="N117" i="62"/>
  <c r="M117" i="62"/>
  <c r="L117" i="62"/>
  <c r="K117" i="62"/>
  <c r="H117" i="62"/>
  <c r="P117" i="62" s="1"/>
  <c r="G117" i="62"/>
  <c r="O117" i="62" s="1"/>
  <c r="N116" i="62"/>
  <c r="M116" i="62"/>
  <c r="L116" i="62"/>
  <c r="K116" i="62"/>
  <c r="H116" i="62"/>
  <c r="P116" i="62" s="1"/>
  <c r="G116" i="62"/>
  <c r="O116" i="62" s="1"/>
  <c r="N115" i="62"/>
  <c r="M115" i="62"/>
  <c r="L115" i="62"/>
  <c r="K115" i="62"/>
  <c r="H115" i="62"/>
  <c r="P115" i="62" s="1"/>
  <c r="G115" i="62"/>
  <c r="O115" i="62" s="1"/>
  <c r="N114" i="62"/>
  <c r="M114" i="62"/>
  <c r="L114" i="62"/>
  <c r="K114" i="62"/>
  <c r="H114" i="62"/>
  <c r="P114" i="62" s="1"/>
  <c r="G114" i="62"/>
  <c r="O114" i="62" s="1"/>
  <c r="N113" i="62"/>
  <c r="M113" i="62"/>
  <c r="L113" i="62"/>
  <c r="K113" i="62"/>
  <c r="H113" i="62"/>
  <c r="P113" i="62" s="1"/>
  <c r="G113" i="62"/>
  <c r="O113" i="62" s="1"/>
  <c r="N112" i="62"/>
  <c r="M112" i="62"/>
  <c r="L112" i="62"/>
  <c r="K112" i="62"/>
  <c r="H112" i="62"/>
  <c r="P112" i="62" s="1"/>
  <c r="G112" i="62"/>
  <c r="O112" i="62" s="1"/>
  <c r="N111" i="62"/>
  <c r="M111" i="62"/>
  <c r="L111" i="62"/>
  <c r="K111" i="62"/>
  <c r="H111" i="62"/>
  <c r="P111" i="62" s="1"/>
  <c r="G111" i="62"/>
  <c r="O111" i="62" s="1"/>
  <c r="N110" i="62"/>
  <c r="M110" i="62"/>
  <c r="L110" i="62"/>
  <c r="K110" i="62"/>
  <c r="H110" i="62"/>
  <c r="P110" i="62" s="1"/>
  <c r="G110" i="62"/>
  <c r="O110" i="62" s="1"/>
  <c r="N109" i="62"/>
  <c r="M109" i="62"/>
  <c r="L109" i="62"/>
  <c r="K109" i="62"/>
  <c r="H109" i="62"/>
  <c r="P109" i="62" s="1"/>
  <c r="G109" i="62"/>
  <c r="O109" i="62" s="1"/>
  <c r="N108" i="62"/>
  <c r="M108" i="62"/>
  <c r="L108" i="62"/>
  <c r="K108" i="62"/>
  <c r="H108" i="62"/>
  <c r="P108" i="62" s="1"/>
  <c r="G108" i="62"/>
  <c r="O108" i="62" s="1"/>
  <c r="N107" i="62"/>
  <c r="M107" i="62"/>
  <c r="L107" i="62"/>
  <c r="K107" i="62"/>
  <c r="H107" i="62"/>
  <c r="P107" i="62" s="1"/>
  <c r="G107" i="62"/>
  <c r="O107" i="62" s="1"/>
  <c r="N106" i="62"/>
  <c r="M106" i="62"/>
  <c r="L106" i="62"/>
  <c r="K106" i="62"/>
  <c r="H106" i="62"/>
  <c r="P106" i="62" s="1"/>
  <c r="G106" i="62"/>
  <c r="O106" i="62" s="1"/>
  <c r="N105" i="62"/>
  <c r="M105" i="62"/>
  <c r="L105" i="62"/>
  <c r="K105" i="62"/>
  <c r="H105" i="62"/>
  <c r="P105" i="62" s="1"/>
  <c r="G105" i="62"/>
  <c r="O105" i="62" s="1"/>
  <c r="N104" i="62"/>
  <c r="M104" i="62"/>
  <c r="L104" i="62"/>
  <c r="K104" i="62"/>
  <c r="H104" i="62"/>
  <c r="P104" i="62" s="1"/>
  <c r="G104" i="62"/>
  <c r="O104" i="62" s="1"/>
  <c r="N103" i="62"/>
  <c r="M103" i="62"/>
  <c r="L103" i="62"/>
  <c r="K103" i="62"/>
  <c r="H103" i="62"/>
  <c r="P103" i="62" s="1"/>
  <c r="G103" i="62"/>
  <c r="O103" i="62" s="1"/>
  <c r="N102" i="62"/>
  <c r="M102" i="62"/>
  <c r="L102" i="62"/>
  <c r="K102" i="62"/>
  <c r="H102" i="62"/>
  <c r="P102" i="62" s="1"/>
  <c r="G102" i="62"/>
  <c r="O102" i="62" s="1"/>
  <c r="N101" i="62"/>
  <c r="M101" i="62"/>
  <c r="L101" i="62"/>
  <c r="K101" i="62"/>
  <c r="H101" i="62"/>
  <c r="P101" i="62" s="1"/>
  <c r="G101" i="62"/>
  <c r="O101" i="62" s="1"/>
  <c r="N100" i="62"/>
  <c r="M100" i="62"/>
  <c r="L100" i="62"/>
  <c r="K100" i="62"/>
  <c r="H100" i="62"/>
  <c r="P100" i="62" s="1"/>
  <c r="G100" i="62"/>
  <c r="O100" i="62" s="1"/>
  <c r="N99" i="62"/>
  <c r="M99" i="62"/>
  <c r="L99" i="62"/>
  <c r="K99" i="62"/>
  <c r="H99" i="62"/>
  <c r="P99" i="62" s="1"/>
  <c r="G99" i="62"/>
  <c r="O99" i="62" s="1"/>
  <c r="N98" i="62"/>
  <c r="M98" i="62"/>
  <c r="L98" i="62"/>
  <c r="K98" i="62"/>
  <c r="H98" i="62"/>
  <c r="P98" i="62" s="1"/>
  <c r="G98" i="62"/>
  <c r="O98" i="62" s="1"/>
  <c r="N97" i="62"/>
  <c r="M97" i="62"/>
  <c r="L97" i="62"/>
  <c r="K97" i="62"/>
  <c r="H97" i="62"/>
  <c r="P97" i="62" s="1"/>
  <c r="G97" i="62"/>
  <c r="O97" i="62" s="1"/>
  <c r="N96" i="62"/>
  <c r="M96" i="62"/>
  <c r="L96" i="62"/>
  <c r="K96" i="62"/>
  <c r="H96" i="62"/>
  <c r="P96" i="62" s="1"/>
  <c r="G96" i="62"/>
  <c r="O96" i="62" s="1"/>
  <c r="N95" i="62"/>
  <c r="M95" i="62"/>
  <c r="L95" i="62"/>
  <c r="K95" i="62"/>
  <c r="H95" i="62"/>
  <c r="P95" i="62" s="1"/>
  <c r="G95" i="62"/>
  <c r="O95" i="62" s="1"/>
  <c r="N94" i="62"/>
  <c r="M94" i="62"/>
  <c r="L94" i="62"/>
  <c r="K94" i="62"/>
  <c r="H94" i="62"/>
  <c r="P94" i="62" s="1"/>
  <c r="G94" i="62"/>
  <c r="O94" i="62" s="1"/>
  <c r="N93" i="62"/>
  <c r="M93" i="62"/>
  <c r="L93" i="62"/>
  <c r="K93" i="62"/>
  <c r="H93" i="62"/>
  <c r="P93" i="62" s="1"/>
  <c r="G93" i="62"/>
  <c r="O93" i="62" s="1"/>
  <c r="N92" i="62"/>
  <c r="M92" i="62"/>
  <c r="L92" i="62"/>
  <c r="K92" i="62"/>
  <c r="H92" i="62"/>
  <c r="P92" i="62" s="1"/>
  <c r="G92" i="62"/>
  <c r="O92" i="62" s="1"/>
  <c r="N91" i="62"/>
  <c r="M91" i="62"/>
  <c r="L91" i="62"/>
  <c r="K91" i="62"/>
  <c r="H91" i="62"/>
  <c r="P91" i="62" s="1"/>
  <c r="G91" i="62"/>
  <c r="O91" i="62" s="1"/>
  <c r="N90" i="62"/>
  <c r="M90" i="62"/>
  <c r="L90" i="62"/>
  <c r="K90" i="62"/>
  <c r="H90" i="62"/>
  <c r="P90" i="62" s="1"/>
  <c r="G90" i="62"/>
  <c r="O90" i="62" s="1"/>
  <c r="N89" i="62"/>
  <c r="M89" i="62"/>
  <c r="L89" i="62"/>
  <c r="K89" i="62"/>
  <c r="H89" i="62"/>
  <c r="P89" i="62" s="1"/>
  <c r="G89" i="62"/>
  <c r="O89" i="62" s="1"/>
  <c r="N88" i="62"/>
  <c r="M88" i="62"/>
  <c r="L88" i="62"/>
  <c r="K88" i="62"/>
  <c r="H88" i="62"/>
  <c r="P88" i="62" s="1"/>
  <c r="G88" i="62"/>
  <c r="O88" i="62" s="1"/>
  <c r="N87" i="62"/>
  <c r="M87" i="62"/>
  <c r="L87" i="62"/>
  <c r="K87" i="62"/>
  <c r="H87" i="62"/>
  <c r="P87" i="62" s="1"/>
  <c r="G87" i="62"/>
  <c r="O87" i="62" s="1"/>
  <c r="N86" i="62"/>
  <c r="M86" i="62"/>
  <c r="L86" i="62"/>
  <c r="K86" i="62"/>
  <c r="H86" i="62"/>
  <c r="P86" i="62" s="1"/>
  <c r="G86" i="62"/>
  <c r="O86" i="62" s="1"/>
  <c r="N85" i="62"/>
  <c r="M85" i="62"/>
  <c r="L85" i="62"/>
  <c r="K85" i="62"/>
  <c r="H85" i="62"/>
  <c r="G85" i="62"/>
  <c r="N84" i="62"/>
  <c r="M84" i="62"/>
  <c r="L84" i="62"/>
  <c r="K84" i="62"/>
  <c r="H84" i="62"/>
  <c r="P84" i="62" s="1"/>
  <c r="G84" i="62"/>
  <c r="O84" i="62" s="1"/>
  <c r="N83" i="62"/>
  <c r="M83" i="62"/>
  <c r="L83" i="62"/>
  <c r="K83" i="62"/>
  <c r="H83" i="62"/>
  <c r="P83" i="62" s="1"/>
  <c r="G83" i="62"/>
  <c r="O83" i="62" s="1"/>
  <c r="N82" i="62"/>
  <c r="M82" i="62"/>
  <c r="L82" i="62"/>
  <c r="K82" i="62"/>
  <c r="H82" i="62"/>
  <c r="P82" i="62" s="1"/>
  <c r="G82" i="62"/>
  <c r="O82" i="62" s="1"/>
  <c r="N81" i="62"/>
  <c r="M81" i="62"/>
  <c r="L81" i="62"/>
  <c r="K81" i="62"/>
  <c r="H81" i="62"/>
  <c r="P81" i="62" s="1"/>
  <c r="G81" i="62"/>
  <c r="O81" i="62" s="1"/>
  <c r="N80" i="62"/>
  <c r="M80" i="62"/>
  <c r="L80" i="62"/>
  <c r="K80" i="62"/>
  <c r="H80" i="62"/>
  <c r="P80" i="62" s="1"/>
  <c r="G80" i="62"/>
  <c r="O80" i="62" s="1"/>
  <c r="N79" i="62"/>
  <c r="M79" i="62"/>
  <c r="L79" i="62"/>
  <c r="K79" i="62"/>
  <c r="H79" i="62"/>
  <c r="P79" i="62" s="1"/>
  <c r="G79" i="62"/>
  <c r="O79" i="62" s="1"/>
  <c r="N78" i="62"/>
  <c r="M78" i="62"/>
  <c r="L78" i="62"/>
  <c r="K78" i="62"/>
  <c r="H78" i="62"/>
  <c r="P78" i="62" s="1"/>
  <c r="G78" i="62"/>
  <c r="O78" i="62" s="1"/>
  <c r="N77" i="62"/>
  <c r="M77" i="62"/>
  <c r="L77" i="62"/>
  <c r="K77" i="62"/>
  <c r="H77" i="62"/>
  <c r="P77" i="62" s="1"/>
  <c r="G77" i="62"/>
  <c r="O77" i="62" s="1"/>
  <c r="K76" i="62"/>
  <c r="H76" i="62"/>
  <c r="G76" i="62"/>
  <c r="O76" i="62" s="1"/>
  <c r="K75" i="62"/>
  <c r="G75" i="62"/>
  <c r="O75" i="62" s="1"/>
  <c r="E75" i="62"/>
  <c r="M76" i="62" s="1"/>
  <c r="D75" i="62"/>
  <c r="L76" i="62" s="1"/>
  <c r="K74" i="62"/>
  <c r="G74" i="62"/>
  <c r="O74" i="62" s="1"/>
  <c r="D74" i="62"/>
  <c r="L74" i="62" s="1"/>
  <c r="K73" i="62"/>
  <c r="G73" i="62"/>
  <c r="O73" i="62" s="1"/>
  <c r="E73" i="62"/>
  <c r="F73" i="62" s="1"/>
  <c r="D73" i="62"/>
  <c r="L73" i="62" s="1"/>
  <c r="K72" i="62"/>
  <c r="G72" i="62"/>
  <c r="O72" i="62" s="1"/>
  <c r="D72" i="62"/>
  <c r="E72" i="62" s="1"/>
  <c r="K71" i="62"/>
  <c r="G71" i="62"/>
  <c r="O71" i="62" s="1"/>
  <c r="E71" i="62"/>
  <c r="D71" i="62"/>
  <c r="L71" i="62" s="1"/>
  <c r="K70" i="62"/>
  <c r="G70" i="62"/>
  <c r="O70" i="62" s="1"/>
  <c r="D70" i="62"/>
  <c r="L70" i="62" s="1"/>
  <c r="K69" i="62"/>
  <c r="G69" i="62"/>
  <c r="O69" i="62" s="1"/>
  <c r="E69" i="62"/>
  <c r="F69" i="62" s="1"/>
  <c r="D69" i="62"/>
  <c r="L69" i="62" s="1"/>
  <c r="K68" i="62"/>
  <c r="G68" i="62"/>
  <c r="O68" i="62" s="1"/>
  <c r="D68" i="62"/>
  <c r="E68" i="62" s="1"/>
  <c r="K67" i="62"/>
  <c r="G67" i="62"/>
  <c r="O67" i="62" s="1"/>
  <c r="E67" i="62"/>
  <c r="D67" i="62"/>
  <c r="L67" i="62" s="1"/>
  <c r="K66" i="62"/>
  <c r="G66" i="62"/>
  <c r="O66" i="62" s="1"/>
  <c r="D66" i="62"/>
  <c r="L66" i="62" s="1"/>
  <c r="K65" i="62"/>
  <c r="G65" i="62"/>
  <c r="O65" i="62" s="1"/>
  <c r="E65" i="62"/>
  <c r="F65" i="62" s="1"/>
  <c r="D65" i="62"/>
  <c r="L65" i="62" s="1"/>
  <c r="K64" i="62"/>
  <c r="G64" i="62"/>
  <c r="O64" i="62" s="1"/>
  <c r="D64" i="62"/>
  <c r="E64" i="62" s="1"/>
  <c r="K63" i="62"/>
  <c r="G63" i="62"/>
  <c r="O63" i="62" s="1"/>
  <c r="E63" i="62"/>
  <c r="D63" i="62"/>
  <c r="L63" i="62" s="1"/>
  <c r="K62" i="62"/>
  <c r="G62" i="62"/>
  <c r="O62" i="62" s="1"/>
  <c r="D62" i="62"/>
  <c r="L62" i="62" s="1"/>
  <c r="K61" i="62"/>
  <c r="G61" i="62"/>
  <c r="O61" i="62" s="1"/>
  <c r="E61" i="62"/>
  <c r="F61" i="62" s="1"/>
  <c r="D61" i="62"/>
  <c r="L61" i="62" s="1"/>
  <c r="K60" i="62"/>
  <c r="G60" i="62"/>
  <c r="O60" i="62" s="1"/>
  <c r="D60" i="62"/>
  <c r="E60" i="62" s="1"/>
  <c r="K59" i="62"/>
  <c r="G59" i="62"/>
  <c r="O59" i="62" s="1"/>
  <c r="E59" i="62"/>
  <c r="D59" i="62"/>
  <c r="L59" i="62" s="1"/>
  <c r="K58" i="62"/>
  <c r="G58" i="62"/>
  <c r="O58" i="62" s="1"/>
  <c r="D58" i="62"/>
  <c r="L58" i="62" s="1"/>
  <c r="K57" i="62"/>
  <c r="G57" i="62"/>
  <c r="O57" i="62" s="1"/>
  <c r="E57" i="62"/>
  <c r="F57" i="62" s="1"/>
  <c r="D57" i="62"/>
  <c r="L57" i="62" s="1"/>
  <c r="K56" i="62"/>
  <c r="G56" i="62"/>
  <c r="O56" i="62" s="1"/>
  <c r="D56" i="62"/>
  <c r="E56" i="62" s="1"/>
  <c r="K55" i="62"/>
  <c r="G55" i="62"/>
  <c r="O55" i="62" s="1"/>
  <c r="E55" i="62"/>
  <c r="D55" i="62"/>
  <c r="L55" i="62" s="1"/>
  <c r="K54" i="62"/>
  <c r="G54" i="62"/>
  <c r="O54" i="62" s="1"/>
  <c r="D54" i="62"/>
  <c r="L54" i="62" s="1"/>
  <c r="K53" i="62"/>
  <c r="G53" i="62"/>
  <c r="O53" i="62" s="1"/>
  <c r="D53" i="62"/>
  <c r="E53" i="62" s="1"/>
  <c r="K52" i="62"/>
  <c r="G52" i="62"/>
  <c r="O52" i="62" s="1"/>
  <c r="D52" i="62"/>
  <c r="E52" i="62" s="1"/>
  <c r="K51" i="62"/>
  <c r="G51" i="62"/>
  <c r="D51" i="62"/>
  <c r="E51" i="62" s="1"/>
  <c r="K50" i="62"/>
  <c r="G50" i="62"/>
  <c r="O50" i="62" s="1"/>
  <c r="D50" i="62"/>
  <c r="E50" i="62" s="1"/>
  <c r="K49" i="62"/>
  <c r="G49" i="62"/>
  <c r="O49" i="62" s="1"/>
  <c r="F49" i="62"/>
  <c r="E49" i="62"/>
  <c r="M49" i="62" s="1"/>
  <c r="D49" i="62"/>
  <c r="L49" i="62" s="1"/>
  <c r="K48" i="62"/>
  <c r="G48" i="62"/>
  <c r="O48" i="62" s="1"/>
  <c r="E48" i="62"/>
  <c r="D48" i="62"/>
  <c r="L48" i="62" s="1"/>
  <c r="K47" i="62"/>
  <c r="G47" i="62"/>
  <c r="O47" i="62" s="1"/>
  <c r="D47" i="62"/>
  <c r="L47" i="62" s="1"/>
  <c r="K46" i="62"/>
  <c r="G46" i="62"/>
  <c r="O46" i="62" s="1"/>
  <c r="D46" i="62"/>
  <c r="E46" i="62" s="1"/>
  <c r="K45" i="62"/>
  <c r="G45" i="62"/>
  <c r="O45" i="62" s="1"/>
  <c r="F45" i="62"/>
  <c r="E45" i="62"/>
  <c r="M45" i="62" s="1"/>
  <c r="D45" i="62"/>
  <c r="L45" i="62" s="1"/>
  <c r="K44" i="62"/>
  <c r="G44" i="62"/>
  <c r="O44" i="62" s="1"/>
  <c r="E44" i="62"/>
  <c r="D44" i="62"/>
  <c r="L44" i="62" s="1"/>
  <c r="K43" i="62"/>
  <c r="G43" i="62"/>
  <c r="O43" i="62" s="1"/>
  <c r="D43" i="62"/>
  <c r="L43" i="62" s="1"/>
  <c r="K42" i="62"/>
  <c r="G42" i="62"/>
  <c r="O42" i="62" s="1"/>
  <c r="D42" i="62"/>
  <c r="E42" i="62" s="1"/>
  <c r="K41" i="62"/>
  <c r="G41" i="62"/>
  <c r="O41" i="62" s="1"/>
  <c r="F41" i="62"/>
  <c r="E41" i="62"/>
  <c r="M41" i="62" s="1"/>
  <c r="D41" i="62"/>
  <c r="L41" i="62" s="1"/>
  <c r="K40" i="62"/>
  <c r="G40" i="62"/>
  <c r="O40" i="62" s="1"/>
  <c r="E40" i="62"/>
  <c r="D40" i="62"/>
  <c r="L40" i="62" s="1"/>
  <c r="K39" i="62"/>
  <c r="G39" i="62"/>
  <c r="O39" i="62" s="1"/>
  <c r="D39" i="62"/>
  <c r="L39" i="62" s="1"/>
  <c r="K38" i="62"/>
  <c r="G38" i="62"/>
  <c r="O38" i="62" s="1"/>
  <c r="D38" i="62"/>
  <c r="E38" i="62" s="1"/>
  <c r="K37" i="62"/>
  <c r="G37" i="62"/>
  <c r="O37" i="62" s="1"/>
  <c r="E37" i="62"/>
  <c r="F37" i="62" s="1"/>
  <c r="D37" i="62"/>
  <c r="L37" i="62" s="1"/>
  <c r="K36" i="62"/>
  <c r="G36" i="62"/>
  <c r="O36" i="62" s="1"/>
  <c r="D36" i="62"/>
  <c r="E36" i="62" s="1"/>
  <c r="K35" i="62"/>
  <c r="G35" i="62"/>
  <c r="O35" i="62" s="1"/>
  <c r="E35" i="62"/>
  <c r="F35" i="62" s="1"/>
  <c r="D35" i="62"/>
  <c r="L35" i="62" s="1"/>
  <c r="K34" i="62"/>
  <c r="G34" i="62"/>
  <c r="O34" i="62" s="1"/>
  <c r="D34" i="62"/>
  <c r="E34" i="62" s="1"/>
  <c r="K33" i="62"/>
  <c r="G33" i="62"/>
  <c r="O33" i="62" s="1"/>
  <c r="E33" i="62"/>
  <c r="F33" i="62" s="1"/>
  <c r="D33" i="62"/>
  <c r="L33" i="62" s="1"/>
  <c r="K32" i="62"/>
  <c r="G32" i="62"/>
  <c r="O32" i="62" s="1"/>
  <c r="D32" i="62"/>
  <c r="E32" i="62" s="1"/>
  <c r="K31" i="62"/>
  <c r="G31" i="62"/>
  <c r="O31" i="62" s="1"/>
  <c r="E31" i="62"/>
  <c r="F31" i="62" s="1"/>
  <c r="D31" i="62"/>
  <c r="L31" i="62" s="1"/>
  <c r="K30" i="62"/>
  <c r="G30" i="62"/>
  <c r="O30" i="62" s="1"/>
  <c r="D30" i="62"/>
  <c r="E30" i="62" s="1"/>
  <c r="K29" i="62"/>
  <c r="G29" i="62"/>
  <c r="O29" i="62" s="1"/>
  <c r="D29" i="62"/>
  <c r="E29" i="62" s="1"/>
  <c r="K28" i="62"/>
  <c r="G28" i="62"/>
  <c r="O28" i="62" s="1"/>
  <c r="D28" i="62"/>
  <c r="E28" i="62" s="1"/>
  <c r="K27" i="62"/>
  <c r="G27" i="62"/>
  <c r="O27" i="62" s="1"/>
  <c r="D27" i="62"/>
  <c r="L27" i="62" s="1"/>
  <c r="K26" i="62"/>
  <c r="G26" i="62"/>
  <c r="O26" i="62" s="1"/>
  <c r="E26" i="62"/>
  <c r="F26" i="62" s="1"/>
  <c r="D26" i="62"/>
  <c r="L26" i="62" s="1"/>
  <c r="K25" i="62"/>
  <c r="G25" i="62"/>
  <c r="O25" i="62" s="1"/>
  <c r="D25" i="62"/>
  <c r="E25" i="62" s="1"/>
  <c r="K24" i="62"/>
  <c r="G24" i="62"/>
  <c r="O24" i="62" s="1"/>
  <c r="D24" i="62"/>
  <c r="E24" i="62" s="1"/>
  <c r="K23" i="62"/>
  <c r="G23" i="62"/>
  <c r="O23" i="62" s="1"/>
  <c r="D23" i="62"/>
  <c r="L23" i="62" s="1"/>
  <c r="K22" i="62"/>
  <c r="G22" i="62"/>
  <c r="O22" i="62" s="1"/>
  <c r="E22" i="62"/>
  <c r="F22" i="62" s="1"/>
  <c r="D22" i="62"/>
  <c r="L22" i="62" s="1"/>
  <c r="K21" i="62"/>
  <c r="G21" i="62"/>
  <c r="O21" i="62" s="1"/>
  <c r="D21" i="62"/>
  <c r="E21" i="62" s="1"/>
  <c r="K20" i="62"/>
  <c r="G20" i="62"/>
  <c r="O20" i="62" s="1"/>
  <c r="D20" i="62"/>
  <c r="E20" i="62" s="1"/>
  <c r="K19" i="62"/>
  <c r="G19" i="62"/>
  <c r="O19" i="62" s="1"/>
  <c r="D19" i="62"/>
  <c r="L19" i="62" s="1"/>
  <c r="K18" i="62"/>
  <c r="G18" i="62"/>
  <c r="O18" i="62" s="1"/>
  <c r="E18" i="62"/>
  <c r="F18" i="62" s="1"/>
  <c r="D18" i="62"/>
  <c r="L18" i="62" s="1"/>
  <c r="K17" i="62"/>
  <c r="G17" i="62"/>
  <c r="O17" i="62" s="1"/>
  <c r="D17" i="62"/>
  <c r="E17" i="62" s="1"/>
  <c r="K16" i="62"/>
  <c r="G16" i="62"/>
  <c r="O16" i="62" s="1"/>
  <c r="D16" i="62"/>
  <c r="E16" i="62" s="1"/>
  <c r="K15" i="62"/>
  <c r="G15" i="62"/>
  <c r="O15" i="62" s="1"/>
  <c r="D15" i="62"/>
  <c r="L15" i="62" s="1"/>
  <c r="K14" i="62"/>
  <c r="G14" i="62"/>
  <c r="O14" i="62" s="1"/>
  <c r="E14" i="62"/>
  <c r="F14" i="62" s="1"/>
  <c r="D14" i="62"/>
  <c r="L14" i="62" s="1"/>
  <c r="K13" i="62"/>
  <c r="G13" i="62"/>
  <c r="O13" i="62" s="1"/>
  <c r="E13" i="62"/>
  <c r="F13" i="62" s="1"/>
  <c r="D13" i="62"/>
  <c r="L13" i="62" s="1"/>
  <c r="K12" i="62"/>
  <c r="G12" i="62"/>
  <c r="O12" i="62" s="1"/>
  <c r="D12" i="62"/>
  <c r="E12" i="62" s="1"/>
  <c r="K11" i="62"/>
  <c r="G11" i="62"/>
  <c r="O11" i="62" s="1"/>
  <c r="F11" i="62"/>
  <c r="E11" i="62"/>
  <c r="M11" i="62" s="1"/>
  <c r="D11" i="62"/>
  <c r="L11" i="62" s="1"/>
  <c r="K10" i="62"/>
  <c r="G10" i="62"/>
  <c r="O10" i="62" s="1"/>
  <c r="E10" i="62"/>
  <c r="F10" i="62" s="1"/>
  <c r="D10" i="62"/>
  <c r="L10" i="62" s="1"/>
  <c r="K9" i="62"/>
  <c r="G9" i="62"/>
  <c r="O9" i="62" s="1"/>
  <c r="D9" i="62"/>
  <c r="E9" i="62" s="1"/>
  <c r="K8" i="62"/>
  <c r="G8" i="62"/>
  <c r="O8" i="62" s="1"/>
  <c r="D8" i="62"/>
  <c r="E8" i="62" s="1"/>
  <c r="K7" i="62"/>
  <c r="G7" i="62"/>
  <c r="O7" i="62" s="1"/>
  <c r="F7" i="62"/>
  <c r="E7" i="62"/>
  <c r="M7" i="62" s="1"/>
  <c r="D7" i="62"/>
  <c r="L7" i="62" s="1"/>
  <c r="G6" i="62"/>
  <c r="E6" i="62"/>
  <c r="F6" i="62" s="1"/>
  <c r="D6" i="62"/>
  <c r="H6" i="62" s="1"/>
  <c r="K76" i="61"/>
  <c r="K75" i="61"/>
  <c r="K74" i="61"/>
  <c r="G74" i="61"/>
  <c r="G75" i="61" s="1"/>
  <c r="G76" i="61" s="1"/>
  <c r="G77" i="61" s="1"/>
  <c r="D74" i="61"/>
  <c r="L74" i="61" s="1"/>
  <c r="K73" i="61"/>
  <c r="G73" i="61"/>
  <c r="O73" i="61" s="1"/>
  <c r="F73" i="61"/>
  <c r="E73" i="61"/>
  <c r="D73" i="61"/>
  <c r="L73" i="61" s="1"/>
  <c r="K72" i="61"/>
  <c r="G72" i="61"/>
  <c r="O72" i="61" s="1"/>
  <c r="D72" i="61"/>
  <c r="E72" i="61" s="1"/>
  <c r="K71" i="61"/>
  <c r="G71" i="61"/>
  <c r="O71" i="61" s="1"/>
  <c r="D71" i="61"/>
  <c r="E71" i="61" s="1"/>
  <c r="K70" i="61"/>
  <c r="G70" i="61"/>
  <c r="O70" i="61" s="1"/>
  <c r="F70" i="61"/>
  <c r="E70" i="61"/>
  <c r="M70" i="61" s="1"/>
  <c r="D70" i="61"/>
  <c r="L70" i="61" s="1"/>
  <c r="K69" i="61"/>
  <c r="G69" i="61"/>
  <c r="O69" i="61" s="1"/>
  <c r="E69" i="61"/>
  <c r="F69" i="61" s="1"/>
  <c r="D69" i="61"/>
  <c r="L69" i="61" s="1"/>
  <c r="K68" i="61"/>
  <c r="G68" i="61"/>
  <c r="O68" i="61" s="1"/>
  <c r="D68" i="61"/>
  <c r="E68" i="61" s="1"/>
  <c r="K67" i="61"/>
  <c r="G67" i="61"/>
  <c r="O67" i="61" s="1"/>
  <c r="D67" i="61"/>
  <c r="E67" i="61" s="1"/>
  <c r="K66" i="61"/>
  <c r="G66" i="61"/>
  <c r="O66" i="61" s="1"/>
  <c r="D66" i="61"/>
  <c r="L66" i="61" s="1"/>
  <c r="K65" i="61"/>
  <c r="G65" i="61"/>
  <c r="O65" i="61" s="1"/>
  <c r="E65" i="61"/>
  <c r="F65" i="61" s="1"/>
  <c r="D65" i="61"/>
  <c r="L65" i="61" s="1"/>
  <c r="K64" i="61"/>
  <c r="G64" i="61"/>
  <c r="O64" i="61" s="1"/>
  <c r="D64" i="61"/>
  <c r="E64" i="61" s="1"/>
  <c r="K63" i="61"/>
  <c r="G63" i="61"/>
  <c r="D63" i="61"/>
  <c r="E63" i="61" s="1"/>
  <c r="K62" i="61"/>
  <c r="G62" i="61"/>
  <c r="O62" i="61" s="1"/>
  <c r="D62" i="61"/>
  <c r="L62" i="61" s="1"/>
  <c r="K61" i="61"/>
  <c r="G61" i="61"/>
  <c r="O61" i="61" s="1"/>
  <c r="E61" i="61"/>
  <c r="I61" i="61" s="1"/>
  <c r="D61" i="61"/>
  <c r="K60" i="61"/>
  <c r="H60" i="61"/>
  <c r="P60" i="61" s="1"/>
  <c r="G60" i="61"/>
  <c r="E60" i="61"/>
  <c r="F60" i="61" s="1"/>
  <c r="D60" i="61"/>
  <c r="L60" i="61" s="1"/>
  <c r="K59" i="61"/>
  <c r="H59" i="61"/>
  <c r="G59" i="61"/>
  <c r="O59" i="61" s="1"/>
  <c r="D59" i="61"/>
  <c r="E59" i="61" s="1"/>
  <c r="K58" i="61"/>
  <c r="G58" i="61"/>
  <c r="D58" i="61"/>
  <c r="L58" i="61" s="1"/>
  <c r="K57" i="61"/>
  <c r="G57" i="61"/>
  <c r="O58" i="61" s="1"/>
  <c r="E57" i="61"/>
  <c r="F57" i="61" s="1"/>
  <c r="D57" i="61"/>
  <c r="L57" i="61" s="1"/>
  <c r="K56" i="61"/>
  <c r="G56" i="61"/>
  <c r="O56" i="61" s="1"/>
  <c r="D56" i="61"/>
  <c r="E56" i="61" s="1"/>
  <c r="K55" i="61"/>
  <c r="G55" i="61"/>
  <c r="O55" i="61" s="1"/>
  <c r="E55" i="61"/>
  <c r="F55" i="61" s="1"/>
  <c r="D55" i="61"/>
  <c r="L55" i="61" s="1"/>
  <c r="K54" i="61"/>
  <c r="G54" i="61"/>
  <c r="O54" i="61" s="1"/>
  <c r="D54" i="61"/>
  <c r="E54" i="61" s="1"/>
  <c r="K53" i="61"/>
  <c r="G53" i="61"/>
  <c r="O53" i="61" s="1"/>
  <c r="E53" i="61"/>
  <c r="F53" i="61" s="1"/>
  <c r="D53" i="61"/>
  <c r="L53" i="61" s="1"/>
  <c r="K52" i="61"/>
  <c r="G52" i="61"/>
  <c r="O52" i="61" s="1"/>
  <c r="D52" i="61"/>
  <c r="E52" i="61" s="1"/>
  <c r="K51" i="61"/>
  <c r="G51" i="61"/>
  <c r="O51" i="61" s="1"/>
  <c r="E51" i="61"/>
  <c r="F51" i="61" s="1"/>
  <c r="D51" i="61"/>
  <c r="L51" i="61" s="1"/>
  <c r="K50" i="61"/>
  <c r="G50" i="61"/>
  <c r="O50" i="61" s="1"/>
  <c r="D50" i="61"/>
  <c r="E50" i="61" s="1"/>
  <c r="K49" i="61"/>
  <c r="G49" i="61"/>
  <c r="O49" i="61" s="1"/>
  <c r="E49" i="61"/>
  <c r="F49" i="61" s="1"/>
  <c r="D49" i="61"/>
  <c r="L49" i="61" s="1"/>
  <c r="K48" i="61"/>
  <c r="G48" i="61"/>
  <c r="O48" i="61" s="1"/>
  <c r="D48" i="61"/>
  <c r="E48" i="61" s="1"/>
  <c r="K47" i="61"/>
  <c r="G47" i="61"/>
  <c r="O47" i="61" s="1"/>
  <c r="D47" i="61"/>
  <c r="L47" i="61" s="1"/>
  <c r="K46" i="61"/>
  <c r="G46" i="61"/>
  <c r="O46" i="61" s="1"/>
  <c r="D46" i="61"/>
  <c r="E46" i="61" s="1"/>
  <c r="K45" i="61"/>
  <c r="G45" i="61"/>
  <c r="O45" i="61" s="1"/>
  <c r="E45" i="61"/>
  <c r="F45" i="61" s="1"/>
  <c r="D45" i="61"/>
  <c r="L45" i="61" s="1"/>
  <c r="K44" i="61"/>
  <c r="G44" i="61"/>
  <c r="O44" i="61" s="1"/>
  <c r="D44" i="61"/>
  <c r="E44" i="61" s="1"/>
  <c r="K43" i="61"/>
  <c r="G43" i="61"/>
  <c r="O43" i="61" s="1"/>
  <c r="D43" i="61"/>
  <c r="L43" i="61" s="1"/>
  <c r="K42" i="61"/>
  <c r="G42" i="61"/>
  <c r="O42" i="61" s="1"/>
  <c r="D42" i="61"/>
  <c r="E42" i="61" s="1"/>
  <c r="K41" i="61"/>
  <c r="G41" i="61"/>
  <c r="O41" i="61" s="1"/>
  <c r="E41" i="61"/>
  <c r="F41" i="61" s="1"/>
  <c r="D41" i="61"/>
  <c r="L41" i="61" s="1"/>
  <c r="K40" i="61"/>
  <c r="G40" i="61"/>
  <c r="O40" i="61" s="1"/>
  <c r="E40" i="61"/>
  <c r="D40" i="61"/>
  <c r="L40" i="61" s="1"/>
  <c r="K39" i="61"/>
  <c r="G39" i="61"/>
  <c r="O39" i="61" s="1"/>
  <c r="D39" i="61"/>
  <c r="L39" i="61" s="1"/>
  <c r="K38" i="61"/>
  <c r="G38" i="61"/>
  <c r="O38" i="61" s="1"/>
  <c r="D38" i="61"/>
  <c r="E38" i="61" s="1"/>
  <c r="K37" i="61"/>
  <c r="G37" i="61"/>
  <c r="O37" i="61" s="1"/>
  <c r="F37" i="61"/>
  <c r="E37" i="61"/>
  <c r="M37" i="61" s="1"/>
  <c r="D37" i="61"/>
  <c r="L37" i="61" s="1"/>
  <c r="K36" i="61"/>
  <c r="G36" i="61"/>
  <c r="O36" i="61" s="1"/>
  <c r="E36" i="61"/>
  <c r="D36" i="61"/>
  <c r="L36" i="61" s="1"/>
  <c r="K35" i="61"/>
  <c r="G35" i="61"/>
  <c r="O35" i="61" s="1"/>
  <c r="D35" i="61"/>
  <c r="L35" i="61" s="1"/>
  <c r="K34" i="61"/>
  <c r="G34" i="61"/>
  <c r="O34" i="61" s="1"/>
  <c r="D34" i="61"/>
  <c r="E34" i="61" s="1"/>
  <c r="K33" i="61"/>
  <c r="G33" i="61"/>
  <c r="O33" i="61" s="1"/>
  <c r="E33" i="61"/>
  <c r="F33" i="61" s="1"/>
  <c r="D33" i="61"/>
  <c r="L33" i="61" s="1"/>
  <c r="K32" i="61"/>
  <c r="G32" i="61"/>
  <c r="O32" i="61" s="1"/>
  <c r="D32" i="61"/>
  <c r="E32" i="61" s="1"/>
  <c r="K31" i="61"/>
  <c r="G31" i="61"/>
  <c r="O31" i="61" s="1"/>
  <c r="D31" i="61"/>
  <c r="L31" i="61" s="1"/>
  <c r="K30" i="61"/>
  <c r="G30" i="61"/>
  <c r="O30" i="61" s="1"/>
  <c r="D30" i="61"/>
  <c r="E30" i="61" s="1"/>
  <c r="K29" i="61"/>
  <c r="G29" i="61"/>
  <c r="O29" i="61" s="1"/>
  <c r="E29" i="61"/>
  <c r="F29" i="61" s="1"/>
  <c r="D29" i="61"/>
  <c r="L29" i="61" s="1"/>
  <c r="K28" i="61"/>
  <c r="G28" i="61"/>
  <c r="O28" i="61" s="1"/>
  <c r="E28" i="61"/>
  <c r="D28" i="61"/>
  <c r="L28" i="61" s="1"/>
  <c r="K27" i="61"/>
  <c r="G27" i="61"/>
  <c r="O27" i="61" s="1"/>
  <c r="D27" i="61"/>
  <c r="L27" i="61" s="1"/>
  <c r="K26" i="61"/>
  <c r="G26" i="61"/>
  <c r="O26" i="61" s="1"/>
  <c r="D26" i="61"/>
  <c r="E26" i="61" s="1"/>
  <c r="K25" i="61"/>
  <c r="G25" i="61"/>
  <c r="O25" i="61" s="1"/>
  <c r="E25" i="61"/>
  <c r="F25" i="61" s="1"/>
  <c r="D25" i="61"/>
  <c r="L25" i="61" s="1"/>
  <c r="K24" i="61"/>
  <c r="G24" i="61"/>
  <c r="O24" i="61" s="1"/>
  <c r="D24" i="61"/>
  <c r="E24" i="61" s="1"/>
  <c r="K23" i="61"/>
  <c r="G23" i="61"/>
  <c r="O23" i="61" s="1"/>
  <c r="D23" i="61"/>
  <c r="L23" i="61" s="1"/>
  <c r="K22" i="61"/>
  <c r="G22" i="61"/>
  <c r="O22" i="61" s="1"/>
  <c r="D22" i="61"/>
  <c r="E22" i="61" s="1"/>
  <c r="K21" i="61"/>
  <c r="G21" i="61"/>
  <c r="O21" i="61" s="1"/>
  <c r="E21" i="61"/>
  <c r="F21" i="61" s="1"/>
  <c r="D21" i="61"/>
  <c r="L21" i="61" s="1"/>
  <c r="K20" i="61"/>
  <c r="G20" i="61"/>
  <c r="O20" i="61" s="1"/>
  <c r="D20" i="61"/>
  <c r="E20" i="61" s="1"/>
  <c r="K19" i="61"/>
  <c r="G19" i="61"/>
  <c r="O19" i="61" s="1"/>
  <c r="D19" i="61"/>
  <c r="L19" i="61" s="1"/>
  <c r="K18" i="61"/>
  <c r="G18" i="61"/>
  <c r="O18" i="61" s="1"/>
  <c r="F18" i="61"/>
  <c r="N18" i="61" s="1"/>
  <c r="E18" i="61"/>
  <c r="M18" i="61" s="1"/>
  <c r="D18" i="61"/>
  <c r="L18" i="61" s="1"/>
  <c r="K17" i="61"/>
  <c r="G17" i="61"/>
  <c r="O17" i="61" s="1"/>
  <c r="E17" i="61"/>
  <c r="F17" i="61" s="1"/>
  <c r="D17" i="61"/>
  <c r="L17" i="61" s="1"/>
  <c r="K16" i="61"/>
  <c r="G16" i="61"/>
  <c r="O16" i="61" s="1"/>
  <c r="D16" i="61"/>
  <c r="E16" i="61" s="1"/>
  <c r="K15" i="61"/>
  <c r="G15" i="61"/>
  <c r="O15" i="61" s="1"/>
  <c r="D15" i="61"/>
  <c r="L15" i="61" s="1"/>
  <c r="K14" i="61"/>
  <c r="G14" i="61"/>
  <c r="O14" i="61" s="1"/>
  <c r="D14" i="61"/>
  <c r="E14" i="61" s="1"/>
  <c r="K13" i="61"/>
  <c r="G13" i="61"/>
  <c r="O13" i="61" s="1"/>
  <c r="E13" i="61"/>
  <c r="F13" i="61" s="1"/>
  <c r="D13" i="61"/>
  <c r="L13" i="61" s="1"/>
  <c r="K12" i="61"/>
  <c r="G12" i="61"/>
  <c r="O12" i="61" s="1"/>
  <c r="D12" i="61"/>
  <c r="E12" i="61" s="1"/>
  <c r="K11" i="61"/>
  <c r="G11" i="61"/>
  <c r="O11" i="61" s="1"/>
  <c r="D11" i="61"/>
  <c r="L11" i="61" s="1"/>
  <c r="K10" i="61"/>
  <c r="G10" i="61"/>
  <c r="O10" i="61" s="1"/>
  <c r="D10" i="61"/>
  <c r="E10" i="61" s="1"/>
  <c r="K9" i="61"/>
  <c r="G9" i="61"/>
  <c r="O9" i="61" s="1"/>
  <c r="E9" i="61"/>
  <c r="F9" i="61" s="1"/>
  <c r="D9" i="61"/>
  <c r="L9" i="61" s="1"/>
  <c r="K8" i="61"/>
  <c r="G8" i="61"/>
  <c r="O8" i="61" s="1"/>
  <c r="D8" i="61"/>
  <c r="E8" i="61" s="1"/>
  <c r="K7" i="61"/>
  <c r="G7" i="61"/>
  <c r="O7" i="61" s="1"/>
  <c r="D7" i="61"/>
  <c r="L7" i="61" s="1"/>
  <c r="G6" i="61"/>
  <c r="D6" i="61"/>
  <c r="E6" i="61" s="1"/>
  <c r="I8" i="61" l="1"/>
  <c r="F8" i="61"/>
  <c r="N9" i="61" s="1"/>
  <c r="F14" i="61"/>
  <c r="M14" i="61"/>
  <c r="I14" i="61"/>
  <c r="F22" i="61"/>
  <c r="M22" i="61"/>
  <c r="I22" i="61"/>
  <c r="F34" i="61"/>
  <c r="M34" i="61"/>
  <c r="I34" i="61"/>
  <c r="I48" i="61"/>
  <c r="F48" i="61"/>
  <c r="N49" i="61"/>
  <c r="M56" i="61"/>
  <c r="I56" i="61"/>
  <c r="F56" i="61"/>
  <c r="N57" i="61"/>
  <c r="I12" i="61"/>
  <c r="F12" i="61"/>
  <c r="N13" i="61"/>
  <c r="I20" i="61"/>
  <c r="F20" i="61"/>
  <c r="N21" i="61" s="1"/>
  <c r="F26" i="61"/>
  <c r="M26" i="61"/>
  <c r="I26" i="61"/>
  <c r="I32" i="61"/>
  <c r="F32" i="61"/>
  <c r="N33" i="61" s="1"/>
  <c r="F42" i="61"/>
  <c r="M42" i="61"/>
  <c r="I42" i="61"/>
  <c r="F54" i="61"/>
  <c r="M54" i="61"/>
  <c r="N55" i="61"/>
  <c r="M16" i="61"/>
  <c r="I16" i="61"/>
  <c r="F16" i="61"/>
  <c r="N17" i="61"/>
  <c r="I24" i="61"/>
  <c r="F24" i="61"/>
  <c r="N41" i="61"/>
  <c r="F46" i="61"/>
  <c r="M46" i="61"/>
  <c r="I46" i="61"/>
  <c r="M52" i="61"/>
  <c r="I52" i="61"/>
  <c r="F52" i="61"/>
  <c r="N53" i="61"/>
  <c r="F6" i="61"/>
  <c r="I6" i="61"/>
  <c r="F10" i="61"/>
  <c r="M10" i="61"/>
  <c r="I10" i="61"/>
  <c r="F30" i="61"/>
  <c r="M30" i="61"/>
  <c r="I30" i="61"/>
  <c r="F38" i="61"/>
  <c r="M38" i="61"/>
  <c r="I38" i="61"/>
  <c r="I44" i="61"/>
  <c r="F44" i="61"/>
  <c r="F50" i="61"/>
  <c r="M50" i="61"/>
  <c r="I50" i="61"/>
  <c r="N51" i="61"/>
  <c r="H6" i="61"/>
  <c r="E7" i="61"/>
  <c r="M8" i="61" s="1"/>
  <c r="H10" i="61"/>
  <c r="L10" i="61"/>
  <c r="E11" i="61"/>
  <c r="H14" i="61"/>
  <c r="P14" i="61" s="1"/>
  <c r="L14" i="61"/>
  <c r="E15" i="61"/>
  <c r="H18" i="61"/>
  <c r="P18" i="61" s="1"/>
  <c r="E19" i="61"/>
  <c r="M20" i="61" s="1"/>
  <c r="H22" i="61"/>
  <c r="L22" i="61"/>
  <c r="E23" i="61"/>
  <c r="H26" i="61"/>
  <c r="P26" i="61" s="1"/>
  <c r="L26" i="61"/>
  <c r="E27" i="61"/>
  <c r="F28" i="61"/>
  <c r="H30" i="61"/>
  <c r="P30" i="61" s="1"/>
  <c r="L30" i="61"/>
  <c r="E31" i="61"/>
  <c r="H34" i="61"/>
  <c r="L34" i="61"/>
  <c r="E35" i="61"/>
  <c r="F36" i="61"/>
  <c r="N37" i="61" s="1"/>
  <c r="H38" i="61"/>
  <c r="L38" i="61"/>
  <c r="E39" i="61"/>
  <c r="M40" i="61" s="1"/>
  <c r="F40" i="61"/>
  <c r="H42" i="61"/>
  <c r="P42" i="61" s="1"/>
  <c r="L42" i="61"/>
  <c r="E43" i="61"/>
  <c r="H46" i="61"/>
  <c r="L46" i="61"/>
  <c r="E47" i="61"/>
  <c r="H50" i="61"/>
  <c r="L50" i="61"/>
  <c r="I51" i="61"/>
  <c r="Q51" i="61" s="1"/>
  <c r="M51" i="61"/>
  <c r="H54" i="61"/>
  <c r="L54" i="61"/>
  <c r="I55" i="61"/>
  <c r="M55" i="61"/>
  <c r="O57" i="61"/>
  <c r="H58" i="61"/>
  <c r="M60" i="61"/>
  <c r="H9" i="61"/>
  <c r="P9" i="61" s="1"/>
  <c r="H13" i="61"/>
  <c r="H17" i="61"/>
  <c r="I18" i="61"/>
  <c r="H21" i="61"/>
  <c r="H25" i="61"/>
  <c r="H29" i="61"/>
  <c r="H33" i="61"/>
  <c r="P33" i="61" s="1"/>
  <c r="H37" i="61"/>
  <c r="P37" i="61" s="1"/>
  <c r="H41" i="61"/>
  <c r="H45" i="61"/>
  <c r="H49" i="61"/>
  <c r="H53" i="61"/>
  <c r="H57" i="61"/>
  <c r="E58" i="61"/>
  <c r="I60" i="61"/>
  <c r="F61" i="61"/>
  <c r="F64" i="61"/>
  <c r="M64" i="61"/>
  <c r="I64" i="61"/>
  <c r="N65" i="61"/>
  <c r="F72" i="61"/>
  <c r="M72" i="61"/>
  <c r="I72" i="61"/>
  <c r="M73" i="61"/>
  <c r="H8" i="61"/>
  <c r="L8" i="61"/>
  <c r="I9" i="61"/>
  <c r="Q9" i="61" s="1"/>
  <c r="M9" i="61"/>
  <c r="H12" i="61"/>
  <c r="L12" i="61"/>
  <c r="M13" i="61"/>
  <c r="H16" i="61"/>
  <c r="L16" i="61"/>
  <c r="I17" i="61"/>
  <c r="Q17" i="61" s="1"/>
  <c r="M17" i="61"/>
  <c r="H20" i="61"/>
  <c r="L20" i="61"/>
  <c r="M21" i="61"/>
  <c r="H24" i="61"/>
  <c r="L24" i="61"/>
  <c r="I25" i="61"/>
  <c r="Q25" i="61" s="1"/>
  <c r="M25" i="61"/>
  <c r="H28" i="61"/>
  <c r="P28" i="61" s="1"/>
  <c r="M29" i="61"/>
  <c r="H32" i="61"/>
  <c r="L32" i="61"/>
  <c r="I33" i="61"/>
  <c r="Q33" i="61" s="1"/>
  <c r="M33" i="61"/>
  <c r="H36" i="61"/>
  <c r="H40" i="61"/>
  <c r="I41" i="61"/>
  <c r="M41" i="61"/>
  <c r="H44" i="61"/>
  <c r="P44" i="61" s="1"/>
  <c r="L44" i="61"/>
  <c r="M45" i="61"/>
  <c r="H48" i="61"/>
  <c r="P48" i="61" s="1"/>
  <c r="L48" i="61"/>
  <c r="M49" i="61"/>
  <c r="H52" i="61"/>
  <c r="L52" i="61"/>
  <c r="I53" i="61"/>
  <c r="Q53" i="61" s="1"/>
  <c r="M53" i="61"/>
  <c r="H56" i="61"/>
  <c r="L56" i="61"/>
  <c r="I57" i="61"/>
  <c r="Q57" i="61" s="1"/>
  <c r="M57" i="61"/>
  <c r="M59" i="61"/>
  <c r="I59" i="61"/>
  <c r="F59" i="61"/>
  <c r="L59" i="61"/>
  <c r="N60" i="61"/>
  <c r="M61" i="61"/>
  <c r="I63" i="61"/>
  <c r="F63" i="61"/>
  <c r="F68" i="61"/>
  <c r="M68" i="61"/>
  <c r="I68" i="61"/>
  <c r="Q68" i="61" s="1"/>
  <c r="N69" i="61"/>
  <c r="M71" i="61"/>
  <c r="I71" i="61"/>
  <c r="F71" i="61"/>
  <c r="N73" i="61"/>
  <c r="G78" i="61"/>
  <c r="C77" i="61"/>
  <c r="K77" i="61" s="1"/>
  <c r="H7" i="61"/>
  <c r="P7" i="61" s="1"/>
  <c r="H11" i="61"/>
  <c r="P11" i="61" s="1"/>
  <c r="H15" i="61"/>
  <c r="P15" i="61" s="1"/>
  <c r="H19" i="61"/>
  <c r="P19" i="61" s="1"/>
  <c r="H23" i="61"/>
  <c r="P23" i="61" s="1"/>
  <c r="H27" i="61"/>
  <c r="P27" i="61" s="1"/>
  <c r="I28" i="61"/>
  <c r="H31" i="61"/>
  <c r="P31" i="61" s="1"/>
  <c r="H35" i="61"/>
  <c r="P35" i="61" s="1"/>
  <c r="I36" i="61"/>
  <c r="H39" i="61"/>
  <c r="P39" i="61" s="1"/>
  <c r="I40" i="61"/>
  <c r="H43" i="61"/>
  <c r="P43" i="61" s="1"/>
  <c r="H47" i="61"/>
  <c r="P47" i="61" s="1"/>
  <c r="H51" i="61"/>
  <c r="P51" i="61" s="1"/>
  <c r="H55" i="61"/>
  <c r="P55" i="61" s="1"/>
  <c r="O60" i="61"/>
  <c r="L61" i="61"/>
  <c r="O63" i="61"/>
  <c r="I67" i="61"/>
  <c r="F67" i="61"/>
  <c r="N70" i="61"/>
  <c r="H61" i="61"/>
  <c r="P61" i="61" s="1"/>
  <c r="E62" i="61"/>
  <c r="M63" i="61" s="1"/>
  <c r="H65" i="61"/>
  <c r="E66" i="61"/>
  <c r="H69" i="61"/>
  <c r="H73" i="61"/>
  <c r="E74" i="61"/>
  <c r="I20" i="62"/>
  <c r="F20" i="62"/>
  <c r="F25" i="62"/>
  <c r="M25" i="62"/>
  <c r="I25" i="62"/>
  <c r="F30" i="62"/>
  <c r="M30" i="62"/>
  <c r="I30" i="62"/>
  <c r="N31" i="62"/>
  <c r="F38" i="62"/>
  <c r="M38" i="62"/>
  <c r="I38" i="62"/>
  <c r="N41" i="62"/>
  <c r="M51" i="62"/>
  <c r="F51" i="62"/>
  <c r="H64" i="61"/>
  <c r="L64" i="61"/>
  <c r="I65" i="61"/>
  <c r="Q65" i="61" s="1"/>
  <c r="M65" i="61"/>
  <c r="H68" i="61"/>
  <c r="P68" i="61" s="1"/>
  <c r="L68" i="61"/>
  <c r="I69" i="61"/>
  <c r="M69" i="61"/>
  <c r="H72" i="61"/>
  <c r="L72" i="61"/>
  <c r="I73" i="61"/>
  <c r="Q73" i="61" s="1"/>
  <c r="F9" i="62"/>
  <c r="M9" i="62"/>
  <c r="I9" i="62"/>
  <c r="N10" i="62"/>
  <c r="M12" i="62"/>
  <c r="I12" i="62"/>
  <c r="F12" i="62"/>
  <c r="N14" i="62"/>
  <c r="I24" i="62"/>
  <c r="F24" i="62"/>
  <c r="F29" i="62"/>
  <c r="M29" i="62"/>
  <c r="I29" i="62"/>
  <c r="M36" i="62"/>
  <c r="I36" i="62"/>
  <c r="Q36" i="62" s="1"/>
  <c r="F36" i="62"/>
  <c r="N37" i="62" s="1"/>
  <c r="M48" i="62"/>
  <c r="F50" i="62"/>
  <c r="M50" i="62"/>
  <c r="I50" i="62"/>
  <c r="H63" i="61"/>
  <c r="L63" i="61"/>
  <c r="H67" i="61"/>
  <c r="L67" i="61"/>
  <c r="H71" i="61"/>
  <c r="P71" i="61" s="1"/>
  <c r="L71" i="61"/>
  <c r="M8" i="62"/>
  <c r="I8" i="62"/>
  <c r="F8" i="62"/>
  <c r="N11" i="62"/>
  <c r="F17" i="62"/>
  <c r="M17" i="62"/>
  <c r="I17" i="62"/>
  <c r="N18" i="62"/>
  <c r="M28" i="62"/>
  <c r="I28" i="62"/>
  <c r="F28" i="62"/>
  <c r="F34" i="62"/>
  <c r="M34" i="62"/>
  <c r="I34" i="62"/>
  <c r="N35" i="62"/>
  <c r="M44" i="62"/>
  <c r="F46" i="62"/>
  <c r="M46" i="62"/>
  <c r="I46" i="62"/>
  <c r="N49" i="62"/>
  <c r="H62" i="61"/>
  <c r="P62" i="61" s="1"/>
  <c r="H66" i="61"/>
  <c r="P66" i="61" s="1"/>
  <c r="H70" i="61"/>
  <c r="H74" i="61"/>
  <c r="H75" i="61" s="1"/>
  <c r="N7" i="62"/>
  <c r="I16" i="62"/>
  <c r="F16" i="62"/>
  <c r="F21" i="62"/>
  <c r="M21" i="62"/>
  <c r="I21" i="62"/>
  <c r="Q21" i="62" s="1"/>
  <c r="N22" i="62"/>
  <c r="M32" i="62"/>
  <c r="I32" i="62"/>
  <c r="F32" i="62"/>
  <c r="N33" i="62" s="1"/>
  <c r="M40" i="62"/>
  <c r="F42" i="62"/>
  <c r="M42" i="62"/>
  <c r="I42" i="62"/>
  <c r="N45" i="62"/>
  <c r="H10" i="62"/>
  <c r="I11" i="62"/>
  <c r="H14" i="62"/>
  <c r="E15" i="62"/>
  <c r="M16" i="62" s="1"/>
  <c r="H18" i="62"/>
  <c r="E19" i="62"/>
  <c r="H22" i="62"/>
  <c r="P22" i="62" s="1"/>
  <c r="E23" i="62"/>
  <c r="H26" i="62"/>
  <c r="E27" i="62"/>
  <c r="H30" i="62"/>
  <c r="P30" i="62" s="1"/>
  <c r="L30" i="62"/>
  <c r="M31" i="62"/>
  <c r="H34" i="62"/>
  <c r="L34" i="62"/>
  <c r="I35" i="62"/>
  <c r="M35" i="62"/>
  <c r="H38" i="62"/>
  <c r="P38" i="62" s="1"/>
  <c r="L38" i="62"/>
  <c r="E39" i="62"/>
  <c r="F40" i="62"/>
  <c r="H42" i="62"/>
  <c r="P42" i="62" s="1"/>
  <c r="L42" i="62"/>
  <c r="E43" i="62"/>
  <c r="F44" i="62"/>
  <c r="H46" i="62"/>
  <c r="L46" i="62"/>
  <c r="E47" i="62"/>
  <c r="F48" i="62"/>
  <c r="H50" i="62"/>
  <c r="L50" i="62"/>
  <c r="F56" i="62"/>
  <c r="M56" i="62"/>
  <c r="N57" i="62"/>
  <c r="F64" i="62"/>
  <c r="M64" i="62"/>
  <c r="N65" i="62"/>
  <c r="F72" i="62"/>
  <c r="M72" i="62"/>
  <c r="I6" i="62"/>
  <c r="H9" i="62"/>
  <c r="L9" i="62"/>
  <c r="I10" i="62"/>
  <c r="Q10" i="62" s="1"/>
  <c r="M10" i="62"/>
  <c r="H13" i="62"/>
  <c r="P13" i="62" s="1"/>
  <c r="I14" i="62"/>
  <c r="M14" i="62"/>
  <c r="H17" i="62"/>
  <c r="L17" i="62"/>
  <c r="I18" i="62"/>
  <c r="Q18" i="62" s="1"/>
  <c r="M18" i="62"/>
  <c r="H21" i="62"/>
  <c r="L21" i="62"/>
  <c r="I22" i="62"/>
  <c r="Q22" i="62" s="1"/>
  <c r="M22" i="62"/>
  <c r="H25" i="62"/>
  <c r="L25" i="62"/>
  <c r="I26" i="62"/>
  <c r="Q26" i="62" s="1"/>
  <c r="M26" i="62"/>
  <c r="H29" i="62"/>
  <c r="L29" i="62"/>
  <c r="H33" i="62"/>
  <c r="P33" i="62" s="1"/>
  <c r="H37" i="62"/>
  <c r="H41" i="62"/>
  <c r="H45" i="62"/>
  <c r="H49" i="62"/>
  <c r="P49" i="62" s="1"/>
  <c r="M71" i="62"/>
  <c r="H8" i="62"/>
  <c r="P8" i="62" s="1"/>
  <c r="L8" i="62"/>
  <c r="H12" i="62"/>
  <c r="L12" i="62"/>
  <c r="I13" i="62"/>
  <c r="Q13" i="62" s="1"/>
  <c r="M13" i="62"/>
  <c r="H16" i="62"/>
  <c r="L16" i="62"/>
  <c r="H20" i="62"/>
  <c r="P20" i="62" s="1"/>
  <c r="L20" i="62"/>
  <c r="H24" i="62"/>
  <c r="L24" i="62"/>
  <c r="H28" i="62"/>
  <c r="L28" i="62"/>
  <c r="H32" i="62"/>
  <c r="L32" i="62"/>
  <c r="I33" i="62"/>
  <c r="Q33" i="62" s="1"/>
  <c r="M33" i="62"/>
  <c r="H36" i="62"/>
  <c r="L36" i="62"/>
  <c r="I37" i="62"/>
  <c r="Q37" i="62" s="1"/>
  <c r="M37" i="62"/>
  <c r="H40" i="62"/>
  <c r="I41" i="62"/>
  <c r="H44" i="62"/>
  <c r="P44" i="62" s="1"/>
  <c r="I45" i="62"/>
  <c r="H48" i="62"/>
  <c r="I49" i="62"/>
  <c r="Q49" i="62" s="1"/>
  <c r="O51" i="62"/>
  <c r="F53" i="62"/>
  <c r="M53" i="62"/>
  <c r="I53" i="62"/>
  <c r="F60" i="62"/>
  <c r="M60" i="62"/>
  <c r="I60" i="62"/>
  <c r="N61" i="62"/>
  <c r="F68" i="62"/>
  <c r="M68" i="62"/>
  <c r="I68" i="62"/>
  <c r="N69" i="62"/>
  <c r="H7" i="62"/>
  <c r="P7" i="62" s="1"/>
  <c r="H11" i="62"/>
  <c r="P11" i="62" s="1"/>
  <c r="H15" i="62"/>
  <c r="P15" i="62" s="1"/>
  <c r="H19" i="62"/>
  <c r="P19" i="62" s="1"/>
  <c r="H23" i="62"/>
  <c r="H27" i="62"/>
  <c r="P27" i="62" s="1"/>
  <c r="H31" i="62"/>
  <c r="P31" i="62" s="1"/>
  <c r="H35" i="62"/>
  <c r="H39" i="62"/>
  <c r="I40" i="62"/>
  <c r="H43" i="62"/>
  <c r="I44" i="62"/>
  <c r="H47" i="62"/>
  <c r="P47" i="62" s="1"/>
  <c r="I48" i="62"/>
  <c r="L51" i="62"/>
  <c r="H51" i="62"/>
  <c r="P51" i="62" s="1"/>
  <c r="F52" i="62"/>
  <c r="M52" i="62"/>
  <c r="I52" i="62"/>
  <c r="H53" i="62"/>
  <c r="P53" i="62" s="1"/>
  <c r="L53" i="62"/>
  <c r="E54" i="62"/>
  <c r="F55" i="62"/>
  <c r="H57" i="62"/>
  <c r="E58" i="62"/>
  <c r="F59" i="62"/>
  <c r="H61" i="62"/>
  <c r="E62" i="62"/>
  <c r="F63" i="62"/>
  <c r="H65" i="62"/>
  <c r="E66" i="62"/>
  <c r="F67" i="62"/>
  <c r="H69" i="62"/>
  <c r="E70" i="62"/>
  <c r="F71" i="62"/>
  <c r="H73" i="62"/>
  <c r="E74" i="62"/>
  <c r="F75" i="62"/>
  <c r="F18" i="63"/>
  <c r="J18" i="63" s="1"/>
  <c r="I18" i="63"/>
  <c r="E23" i="63"/>
  <c r="I21" i="61" s="1"/>
  <c r="Q21" i="61" s="1"/>
  <c r="H23" i="63"/>
  <c r="F32" i="63"/>
  <c r="I32" i="63"/>
  <c r="J33" i="63"/>
  <c r="F50" i="63"/>
  <c r="J50" i="63" s="1"/>
  <c r="I50" i="63"/>
  <c r="H52" i="62"/>
  <c r="L52" i="62"/>
  <c r="H56" i="62"/>
  <c r="L56" i="62"/>
  <c r="I57" i="62"/>
  <c r="M57" i="62"/>
  <c r="H60" i="62"/>
  <c r="L60" i="62"/>
  <c r="I61" i="62"/>
  <c r="Q61" i="62" s="1"/>
  <c r="M61" i="62"/>
  <c r="H64" i="62"/>
  <c r="P64" i="62" s="1"/>
  <c r="L64" i="62"/>
  <c r="I65" i="62"/>
  <c r="M65" i="62"/>
  <c r="H68" i="62"/>
  <c r="P68" i="62" s="1"/>
  <c r="L68" i="62"/>
  <c r="I69" i="62"/>
  <c r="M69" i="62"/>
  <c r="H72" i="62"/>
  <c r="L72" i="62"/>
  <c r="I73" i="62"/>
  <c r="M73" i="62"/>
  <c r="O85" i="62"/>
  <c r="F8" i="63"/>
  <c r="J9" i="63" s="1"/>
  <c r="F26" i="63"/>
  <c r="J26" i="63" s="1"/>
  <c r="I26" i="63"/>
  <c r="E31" i="63"/>
  <c r="H31" i="63"/>
  <c r="F40" i="63"/>
  <c r="I49" i="63"/>
  <c r="H55" i="62"/>
  <c r="H59" i="62"/>
  <c r="P59" i="62" s="1"/>
  <c r="H63" i="62"/>
  <c r="H67" i="62"/>
  <c r="H71" i="62"/>
  <c r="H75" i="62"/>
  <c r="P75" i="62" s="1"/>
  <c r="L75" i="62"/>
  <c r="P85" i="62"/>
  <c r="E7" i="63"/>
  <c r="H7" i="63"/>
  <c r="F16" i="63"/>
  <c r="J17" i="63"/>
  <c r="I25" i="63"/>
  <c r="F34" i="63"/>
  <c r="J34" i="63" s="1"/>
  <c r="I34" i="63"/>
  <c r="E39" i="63"/>
  <c r="I37" i="61" s="1"/>
  <c r="Q37" i="61" s="1"/>
  <c r="H39" i="63"/>
  <c r="F48" i="63"/>
  <c r="J49" i="63"/>
  <c r="H54" i="62"/>
  <c r="P54" i="62" s="1"/>
  <c r="I55" i="62"/>
  <c r="H58" i="62"/>
  <c r="I59" i="62"/>
  <c r="H62" i="62"/>
  <c r="P62" i="62" s="1"/>
  <c r="I63" i="62"/>
  <c r="H66" i="62"/>
  <c r="P66" i="62" s="1"/>
  <c r="I67" i="62"/>
  <c r="H70" i="62"/>
  <c r="P70" i="62" s="1"/>
  <c r="I71" i="62"/>
  <c r="H74" i="62"/>
  <c r="I75" i="62"/>
  <c r="M75" i="62"/>
  <c r="O120" i="62"/>
  <c r="F10" i="63"/>
  <c r="J10" i="63" s="1"/>
  <c r="I10" i="63"/>
  <c r="E15" i="63"/>
  <c r="I16" i="63" s="1"/>
  <c r="H15" i="63"/>
  <c r="F24" i="63"/>
  <c r="I24" i="63"/>
  <c r="J25" i="63"/>
  <c r="I33" i="63"/>
  <c r="F42" i="63"/>
  <c r="J42" i="63" s="1"/>
  <c r="I42" i="63"/>
  <c r="E47" i="63"/>
  <c r="I45" i="61" s="1"/>
  <c r="Q45" i="61" s="1"/>
  <c r="H47" i="63"/>
  <c r="F53" i="63"/>
  <c r="J53" i="63" s="1"/>
  <c r="I53" i="63"/>
  <c r="E56" i="63"/>
  <c r="I56" i="62" s="1"/>
  <c r="Q56" i="62" s="1"/>
  <c r="H56" i="63"/>
  <c r="F69" i="63"/>
  <c r="J69" i="63" s="1"/>
  <c r="I69" i="63"/>
  <c r="P118" i="62"/>
  <c r="F11" i="63"/>
  <c r="J11" i="63" s="1"/>
  <c r="I11" i="63"/>
  <c r="J12" i="63"/>
  <c r="I13" i="63"/>
  <c r="F14" i="63"/>
  <c r="J14" i="63" s="1"/>
  <c r="I14" i="63"/>
  <c r="F19" i="63"/>
  <c r="J19" i="63" s="1"/>
  <c r="I19" i="63"/>
  <c r="I21" i="63"/>
  <c r="F22" i="63"/>
  <c r="J22" i="63" s="1"/>
  <c r="I22" i="63"/>
  <c r="F27" i="63"/>
  <c r="I27" i="63"/>
  <c r="J28" i="63"/>
  <c r="I29" i="63"/>
  <c r="F30" i="63"/>
  <c r="J30" i="63" s="1"/>
  <c r="I30" i="63"/>
  <c r="F35" i="63"/>
  <c r="J35" i="63" s="1"/>
  <c r="I35" i="63"/>
  <c r="I37" i="63"/>
  <c r="F38" i="63"/>
  <c r="J38" i="63" s="1"/>
  <c r="I38" i="63"/>
  <c r="F43" i="63"/>
  <c r="J43" i="63" s="1"/>
  <c r="I43" i="63"/>
  <c r="J44" i="63"/>
  <c r="I45" i="63"/>
  <c r="F46" i="63"/>
  <c r="J46" i="63" s="1"/>
  <c r="I46" i="63"/>
  <c r="H52" i="63"/>
  <c r="E51" i="63"/>
  <c r="I51" i="62" s="1"/>
  <c r="Q51" i="62" s="1"/>
  <c r="J62" i="63"/>
  <c r="H8" i="63"/>
  <c r="H16" i="63"/>
  <c r="H24" i="63"/>
  <c r="H32" i="63"/>
  <c r="H40" i="63"/>
  <c r="H48" i="63"/>
  <c r="F61" i="63"/>
  <c r="J61" i="63" s="1"/>
  <c r="I61" i="63"/>
  <c r="E64" i="63"/>
  <c r="H64" i="63"/>
  <c r="H10" i="63"/>
  <c r="H14" i="63"/>
  <c r="H18" i="63"/>
  <c r="H22" i="63"/>
  <c r="H26" i="63"/>
  <c r="H30" i="63"/>
  <c r="H34" i="63"/>
  <c r="H38" i="63"/>
  <c r="H42" i="63"/>
  <c r="H46" i="63"/>
  <c r="H50" i="63"/>
  <c r="J55" i="63"/>
  <c r="H57" i="63"/>
  <c r="I59" i="63"/>
  <c r="J63" i="63"/>
  <c r="H65" i="63"/>
  <c r="I67" i="63"/>
  <c r="J71" i="63"/>
  <c r="J75" i="63"/>
  <c r="I52" i="63"/>
  <c r="H54" i="63"/>
  <c r="F58" i="63"/>
  <c r="J58" i="63" s="1"/>
  <c r="H59" i="63"/>
  <c r="I60" i="63"/>
  <c r="H62" i="63"/>
  <c r="F66" i="63"/>
  <c r="J66" i="63" s="1"/>
  <c r="H67" i="63"/>
  <c r="I68" i="63"/>
  <c r="H70" i="63"/>
  <c r="F74" i="63"/>
  <c r="I74" i="63"/>
  <c r="I54" i="63"/>
  <c r="I55" i="63"/>
  <c r="I62" i="63"/>
  <c r="I63" i="63"/>
  <c r="J67" i="63"/>
  <c r="I70" i="63"/>
  <c r="I71" i="63"/>
  <c r="E72" i="63"/>
  <c r="I73" i="63" s="1"/>
  <c r="F73" i="63"/>
  <c r="J9" i="61" s="1"/>
  <c r="E76" i="63"/>
  <c r="H74" i="63"/>
  <c r="I75" i="63"/>
  <c r="H76" i="63"/>
  <c r="P71" i="62" l="1"/>
  <c r="P72" i="62"/>
  <c r="P60" i="62"/>
  <c r="P56" i="62"/>
  <c r="J54" i="63"/>
  <c r="P73" i="62"/>
  <c r="J67" i="62"/>
  <c r="F62" i="62"/>
  <c r="M62" i="62"/>
  <c r="I62" i="62"/>
  <c r="Q62" i="62" s="1"/>
  <c r="P57" i="62"/>
  <c r="Q52" i="62"/>
  <c r="J45" i="62"/>
  <c r="Q68" i="62"/>
  <c r="Q53" i="62"/>
  <c r="Q41" i="62"/>
  <c r="P45" i="62"/>
  <c r="J73" i="62"/>
  <c r="N72" i="62"/>
  <c r="P50" i="62"/>
  <c r="P46" i="62"/>
  <c r="P34" i="62"/>
  <c r="P14" i="62"/>
  <c r="D75" i="61"/>
  <c r="L75" i="61" s="1"/>
  <c r="H76" i="61"/>
  <c r="P63" i="61"/>
  <c r="N29" i="62"/>
  <c r="J29" i="62"/>
  <c r="J14" i="62"/>
  <c r="N12" i="62"/>
  <c r="J12" i="62"/>
  <c r="Q38" i="62"/>
  <c r="J26" i="62"/>
  <c r="R26" i="62" s="1"/>
  <c r="N25" i="62"/>
  <c r="J25" i="62"/>
  <c r="F74" i="61"/>
  <c r="M74" i="61"/>
  <c r="I74" i="61"/>
  <c r="I75" i="61" s="1"/>
  <c r="F66" i="61"/>
  <c r="M66" i="61"/>
  <c r="I66" i="61"/>
  <c r="Q66" i="61" s="1"/>
  <c r="P56" i="61"/>
  <c r="P52" i="61"/>
  <c r="P24" i="61"/>
  <c r="P20" i="61"/>
  <c r="Q64" i="61"/>
  <c r="Q60" i="61"/>
  <c r="P49" i="61"/>
  <c r="Q18" i="61"/>
  <c r="P38" i="61"/>
  <c r="P34" i="61"/>
  <c r="J28" i="61"/>
  <c r="F23" i="61"/>
  <c r="M23" i="61"/>
  <c r="I23" i="61"/>
  <c r="Q23" i="61" s="1"/>
  <c r="F11" i="61"/>
  <c r="M11" i="61"/>
  <c r="I11" i="61"/>
  <c r="Q11" i="61" s="1"/>
  <c r="J44" i="61"/>
  <c r="N10" i="61"/>
  <c r="J10" i="61"/>
  <c r="R10" i="61" s="1"/>
  <c r="Q46" i="61"/>
  <c r="N24" i="61"/>
  <c r="J24" i="61"/>
  <c r="N42" i="61"/>
  <c r="J42" i="61"/>
  <c r="N26" i="61"/>
  <c r="J26" i="61"/>
  <c r="N12" i="61"/>
  <c r="J12" i="61"/>
  <c r="Q61" i="61"/>
  <c r="N56" i="61"/>
  <c r="J56" i="61"/>
  <c r="N14" i="61"/>
  <c r="J14" i="61"/>
  <c r="P55" i="62"/>
  <c r="J36" i="63"/>
  <c r="J27" i="63"/>
  <c r="J20" i="63"/>
  <c r="P74" i="62"/>
  <c r="P58" i="62"/>
  <c r="I48" i="63"/>
  <c r="P67" i="62"/>
  <c r="J71" i="62"/>
  <c r="F66" i="62"/>
  <c r="M66" i="62"/>
  <c r="I66" i="62"/>
  <c r="Q66" i="62" s="1"/>
  <c r="P61" i="62"/>
  <c r="J55" i="62"/>
  <c r="P76" i="62"/>
  <c r="J49" i="62"/>
  <c r="P39" i="62"/>
  <c r="P23" i="62"/>
  <c r="Q60" i="62"/>
  <c r="P48" i="62"/>
  <c r="P40" i="62"/>
  <c r="P36" i="62"/>
  <c r="P32" i="62"/>
  <c r="P24" i="62"/>
  <c r="P16" i="62"/>
  <c r="P12" i="62"/>
  <c r="M63" i="62"/>
  <c r="P41" i="62"/>
  <c r="P29" i="62"/>
  <c r="P25" i="62"/>
  <c r="P21" i="62"/>
  <c r="P17" i="62"/>
  <c r="J11" i="62"/>
  <c r="P9" i="62"/>
  <c r="N73" i="62"/>
  <c r="J65" i="62"/>
  <c r="N64" i="62"/>
  <c r="J48" i="62"/>
  <c r="J44" i="62"/>
  <c r="J40" i="62"/>
  <c r="F27" i="62"/>
  <c r="M27" i="62"/>
  <c r="I27" i="62"/>
  <c r="Q27" i="62" s="1"/>
  <c r="F19" i="62"/>
  <c r="M19" i="62"/>
  <c r="I19" i="62"/>
  <c r="Q19" i="62" s="1"/>
  <c r="Q11" i="62"/>
  <c r="Q42" i="62"/>
  <c r="J33" i="62"/>
  <c r="P70" i="61"/>
  <c r="Q46" i="62"/>
  <c r="J35" i="62"/>
  <c r="R35" i="62" s="1"/>
  <c r="N34" i="62"/>
  <c r="J34" i="62"/>
  <c r="J18" i="62"/>
  <c r="N17" i="62"/>
  <c r="J17" i="62"/>
  <c r="Q50" i="62"/>
  <c r="J37" i="62"/>
  <c r="J24" i="62"/>
  <c r="Q12" i="62"/>
  <c r="Q9" i="62"/>
  <c r="Q69" i="61"/>
  <c r="N51" i="62"/>
  <c r="Q30" i="62"/>
  <c r="N26" i="62"/>
  <c r="N20" i="62"/>
  <c r="J20" i="62"/>
  <c r="P73" i="61"/>
  <c r="P65" i="61"/>
  <c r="N67" i="61"/>
  <c r="J67" i="61"/>
  <c r="G79" i="61"/>
  <c r="C78" i="61"/>
  <c r="K78" i="61" s="1"/>
  <c r="P36" i="61"/>
  <c r="P32" i="61"/>
  <c r="J18" i="61"/>
  <c r="P16" i="61"/>
  <c r="P12" i="61"/>
  <c r="P8" i="61"/>
  <c r="N72" i="61"/>
  <c r="J72" i="61"/>
  <c r="M58" i="61"/>
  <c r="I58" i="61"/>
  <c r="Q58" i="61" s="1"/>
  <c r="F58" i="61"/>
  <c r="P45" i="61"/>
  <c r="P29" i="61"/>
  <c r="P17" i="61"/>
  <c r="P58" i="61"/>
  <c r="P46" i="61"/>
  <c r="J40" i="61"/>
  <c r="J36" i="61"/>
  <c r="F31" i="61"/>
  <c r="M31" i="61"/>
  <c r="I31" i="61"/>
  <c r="Q31" i="61" s="1"/>
  <c r="F27" i="61"/>
  <c r="N28" i="61" s="1"/>
  <c r="M27" i="61"/>
  <c r="I27" i="61"/>
  <c r="Q27" i="61" s="1"/>
  <c r="F15" i="61"/>
  <c r="N16" i="61" s="1"/>
  <c r="M15" i="61"/>
  <c r="I15" i="61"/>
  <c r="Q15" i="61" s="1"/>
  <c r="J51" i="61"/>
  <c r="R51" i="61" s="1"/>
  <c r="N50" i="61"/>
  <c r="J50" i="61"/>
  <c r="N38" i="61"/>
  <c r="J38" i="61"/>
  <c r="N30" i="61"/>
  <c r="J30" i="61"/>
  <c r="N52" i="61"/>
  <c r="J52" i="61"/>
  <c r="R52" i="61" s="1"/>
  <c r="Q24" i="61"/>
  <c r="J16" i="61"/>
  <c r="J55" i="61"/>
  <c r="N54" i="61"/>
  <c r="J33" i="61"/>
  <c r="M32" i="61"/>
  <c r="Q12" i="61"/>
  <c r="P59" i="61"/>
  <c r="Q56" i="61"/>
  <c r="J48" i="61"/>
  <c r="Q34" i="61"/>
  <c r="N29" i="61"/>
  <c r="N22" i="61"/>
  <c r="J22" i="61"/>
  <c r="I72" i="63"/>
  <c r="F72" i="63"/>
  <c r="J72" i="63" s="1"/>
  <c r="F39" i="63"/>
  <c r="J39" i="63" s="1"/>
  <c r="I39" i="63"/>
  <c r="F7" i="63"/>
  <c r="J7" i="63" s="1"/>
  <c r="I7" i="63"/>
  <c r="J40" i="63"/>
  <c r="F76" i="63"/>
  <c r="J76" i="62" s="1"/>
  <c r="R76" i="62" s="1"/>
  <c r="E77" i="63"/>
  <c r="I76" i="63"/>
  <c r="I76" i="62"/>
  <c r="Q76" i="62" s="1"/>
  <c r="J59" i="63"/>
  <c r="J74" i="63"/>
  <c r="F51" i="63"/>
  <c r="I51" i="63"/>
  <c r="I56" i="63"/>
  <c r="F56" i="63"/>
  <c r="J54" i="61" s="1"/>
  <c r="R54" i="61" s="1"/>
  <c r="I57" i="63"/>
  <c r="Q63" i="62"/>
  <c r="P63" i="62"/>
  <c r="J41" i="63"/>
  <c r="F31" i="63"/>
  <c r="J31" i="63" s="1"/>
  <c r="I31" i="63"/>
  <c r="I8" i="63"/>
  <c r="Q69" i="62"/>
  <c r="Q57" i="62"/>
  <c r="P52" i="62"/>
  <c r="N76" i="62"/>
  <c r="J75" i="62"/>
  <c r="F70" i="62"/>
  <c r="M70" i="62"/>
  <c r="I70" i="62"/>
  <c r="Q70" i="62" s="1"/>
  <c r="P65" i="62"/>
  <c r="J59" i="62"/>
  <c r="F54" i="62"/>
  <c r="M54" i="62"/>
  <c r="I54" i="62"/>
  <c r="Q54" i="62" s="1"/>
  <c r="M67" i="62"/>
  <c r="N52" i="62"/>
  <c r="J52" i="62"/>
  <c r="P43" i="62"/>
  <c r="P35" i="62"/>
  <c r="J69" i="62"/>
  <c r="R69" i="62" s="1"/>
  <c r="N68" i="62"/>
  <c r="J68" i="62"/>
  <c r="R68" i="62" s="1"/>
  <c r="N53" i="62"/>
  <c r="J53" i="62"/>
  <c r="R53" i="62" s="1"/>
  <c r="Q45" i="62"/>
  <c r="M55" i="62"/>
  <c r="P37" i="62"/>
  <c r="J7" i="62"/>
  <c r="I72" i="62"/>
  <c r="Q72" i="62" s="1"/>
  <c r="J57" i="62"/>
  <c r="N56" i="62"/>
  <c r="J56" i="62"/>
  <c r="R56" i="62" s="1"/>
  <c r="F47" i="62"/>
  <c r="N48" i="62" s="1"/>
  <c r="M47" i="62"/>
  <c r="I47" i="62"/>
  <c r="Q47" i="62" s="1"/>
  <c r="F43" i="62"/>
  <c r="M43" i="62"/>
  <c r="I43" i="62"/>
  <c r="Q43" i="62" s="1"/>
  <c r="F39" i="62"/>
  <c r="M39" i="62"/>
  <c r="I39" i="62"/>
  <c r="Q39" i="62" s="1"/>
  <c r="Q35" i="62"/>
  <c r="I31" i="62"/>
  <c r="Q31" i="62" s="1"/>
  <c r="P26" i="62"/>
  <c r="P18" i="62"/>
  <c r="P10" i="62"/>
  <c r="J22" i="62"/>
  <c r="R22" i="62" s="1"/>
  <c r="N21" i="62"/>
  <c r="J21" i="62"/>
  <c r="R21" i="62" s="1"/>
  <c r="N28" i="62"/>
  <c r="J28" i="62"/>
  <c r="J73" i="61"/>
  <c r="R73" i="61" s="1"/>
  <c r="P67" i="61"/>
  <c r="Q29" i="62"/>
  <c r="J13" i="62"/>
  <c r="R13" i="62" s="1"/>
  <c r="P72" i="61"/>
  <c r="N38" i="62"/>
  <c r="J38" i="62"/>
  <c r="R38" i="62" s="1"/>
  <c r="Q25" i="62"/>
  <c r="Q20" i="62"/>
  <c r="I70" i="61"/>
  <c r="Q70" i="61" s="1"/>
  <c r="M62" i="61"/>
  <c r="I62" i="61"/>
  <c r="Q62" i="61" s="1"/>
  <c r="F62" i="61"/>
  <c r="Q67" i="61"/>
  <c r="J69" i="61"/>
  <c r="R69" i="61" s="1"/>
  <c r="N68" i="61"/>
  <c r="J68" i="61"/>
  <c r="R68" i="61" s="1"/>
  <c r="N59" i="61"/>
  <c r="J59" i="61"/>
  <c r="I49" i="61"/>
  <c r="Q49" i="61" s="1"/>
  <c r="Q41" i="61"/>
  <c r="J65" i="61"/>
  <c r="R65" i="61" s="1"/>
  <c r="N64" i="61"/>
  <c r="J64" i="61"/>
  <c r="P57" i="61"/>
  <c r="P41" i="61"/>
  <c r="P25" i="61"/>
  <c r="P13" i="61"/>
  <c r="P54" i="61"/>
  <c r="P50" i="61"/>
  <c r="F43" i="61"/>
  <c r="N44" i="61" s="1"/>
  <c r="M43" i="61"/>
  <c r="I43" i="61"/>
  <c r="Q43" i="61" s="1"/>
  <c r="F39" i="61"/>
  <c r="M39" i="61"/>
  <c r="I39" i="61"/>
  <c r="Q39" i="61" s="1"/>
  <c r="F35" i="61"/>
  <c r="M35" i="61"/>
  <c r="I35" i="61"/>
  <c r="Q35" i="61" s="1"/>
  <c r="P22" i="61"/>
  <c r="P10" i="61"/>
  <c r="M44" i="61"/>
  <c r="M36" i="61"/>
  <c r="Q10" i="61"/>
  <c r="J6" i="61"/>
  <c r="Q52" i="61"/>
  <c r="N46" i="61"/>
  <c r="J46" i="61"/>
  <c r="J25" i="61"/>
  <c r="R25" i="61" s="1"/>
  <c r="M24" i="61"/>
  <c r="Q16" i="61"/>
  <c r="Q42" i="61"/>
  <c r="Q26" i="61"/>
  <c r="J13" i="61"/>
  <c r="R13" i="61" s="1"/>
  <c r="M12" i="61"/>
  <c r="J57" i="61"/>
  <c r="R57" i="61" s="1"/>
  <c r="M28" i="61"/>
  <c r="I64" i="63"/>
  <c r="F64" i="63"/>
  <c r="I65" i="63"/>
  <c r="F47" i="63"/>
  <c r="J47" i="63" s="1"/>
  <c r="I47" i="63"/>
  <c r="F15" i="63"/>
  <c r="J15" i="63" s="1"/>
  <c r="I15" i="63"/>
  <c r="I40" i="63"/>
  <c r="J8" i="63"/>
  <c r="J70" i="63"/>
  <c r="F23" i="63"/>
  <c r="J23" i="63" s="1"/>
  <c r="I23" i="63"/>
  <c r="F74" i="62"/>
  <c r="N75" i="62" s="1"/>
  <c r="M74" i="62"/>
  <c r="I74" i="62"/>
  <c r="Q74" i="62" s="1"/>
  <c r="P69" i="62"/>
  <c r="N63" i="62"/>
  <c r="J63" i="62"/>
  <c r="F58" i="62"/>
  <c r="M58" i="62"/>
  <c r="I58" i="62"/>
  <c r="Q58" i="62" s="1"/>
  <c r="M59" i="62"/>
  <c r="J41" i="62"/>
  <c r="R41" i="62" s="1"/>
  <c r="J61" i="62"/>
  <c r="R61" i="62" s="1"/>
  <c r="N60" i="62"/>
  <c r="J60" i="62"/>
  <c r="R60" i="62" s="1"/>
  <c r="P28" i="62"/>
  <c r="Q14" i="62"/>
  <c r="I64" i="62"/>
  <c r="Q64" i="62" s="1"/>
  <c r="F23" i="62"/>
  <c r="N24" i="62" s="1"/>
  <c r="M23" i="62"/>
  <c r="I23" i="62"/>
  <c r="Q23" i="62" s="1"/>
  <c r="F15" i="62"/>
  <c r="M15" i="62"/>
  <c r="I15" i="62"/>
  <c r="Q15" i="62" s="1"/>
  <c r="I7" i="62"/>
  <c r="Q7" i="62" s="1"/>
  <c r="N42" i="62"/>
  <c r="J42" i="62"/>
  <c r="R42" i="62" s="1"/>
  <c r="N32" i="62"/>
  <c r="J32" i="62"/>
  <c r="R32" i="62" s="1"/>
  <c r="N16" i="62"/>
  <c r="J16" i="62"/>
  <c r="J6" i="62"/>
  <c r="N46" i="62"/>
  <c r="J46" i="62"/>
  <c r="R46" i="62" s="1"/>
  <c r="Q34" i="62"/>
  <c r="Q28" i="62"/>
  <c r="Q17" i="62"/>
  <c r="N8" i="62"/>
  <c r="J8" i="62"/>
  <c r="R8" i="62" s="1"/>
  <c r="N50" i="62"/>
  <c r="J50" i="62"/>
  <c r="R50" i="62" s="1"/>
  <c r="N36" i="62"/>
  <c r="J36" i="62"/>
  <c r="R36" i="62" s="1"/>
  <c r="M24" i="62"/>
  <c r="N13" i="62"/>
  <c r="J10" i="62"/>
  <c r="R10" i="62" s="1"/>
  <c r="N9" i="62"/>
  <c r="J9" i="62"/>
  <c r="R9" i="62" s="1"/>
  <c r="J70" i="61"/>
  <c r="R70" i="61" s="1"/>
  <c r="P64" i="61"/>
  <c r="J31" i="62"/>
  <c r="N30" i="62"/>
  <c r="J30" i="62"/>
  <c r="R30" i="62" s="1"/>
  <c r="M20" i="62"/>
  <c r="P69" i="61"/>
  <c r="M67" i="61"/>
  <c r="Q40" i="61"/>
  <c r="N71" i="61"/>
  <c r="J71" i="61"/>
  <c r="N63" i="61"/>
  <c r="J63" i="61"/>
  <c r="J60" i="61"/>
  <c r="R60" i="61" s="1"/>
  <c r="Q59" i="61"/>
  <c r="P40" i="61"/>
  <c r="I29" i="61"/>
  <c r="Q29" i="61" s="1"/>
  <c r="I13" i="61"/>
  <c r="Q13" i="61" s="1"/>
  <c r="Q72" i="61"/>
  <c r="N61" i="61"/>
  <c r="J61" i="61"/>
  <c r="R61" i="61" s="1"/>
  <c r="P53" i="61"/>
  <c r="P21" i="61"/>
  <c r="F47" i="61"/>
  <c r="M47" i="61"/>
  <c r="I47" i="61"/>
  <c r="Q47" i="61" s="1"/>
  <c r="F19" i="61"/>
  <c r="M19" i="61"/>
  <c r="I19" i="61"/>
  <c r="Q19" i="61" s="1"/>
  <c r="F7" i="61"/>
  <c r="N8" i="61" s="1"/>
  <c r="M7" i="61"/>
  <c r="I7" i="61"/>
  <c r="Q7" i="61" s="1"/>
  <c r="Q50" i="61"/>
  <c r="N45" i="61"/>
  <c r="Q38" i="61"/>
  <c r="J53" i="61"/>
  <c r="R53" i="61" s="1"/>
  <c r="J41" i="61"/>
  <c r="R41" i="61" s="1"/>
  <c r="N25" i="61"/>
  <c r="J17" i="61"/>
  <c r="R17" i="61" s="1"/>
  <c r="I54" i="61"/>
  <c r="Q54" i="61" s="1"/>
  <c r="N32" i="61"/>
  <c r="J32" i="61"/>
  <c r="N20" i="61"/>
  <c r="J20" i="61"/>
  <c r="J49" i="61"/>
  <c r="R49" i="61" s="1"/>
  <c r="M48" i="61"/>
  <c r="N34" i="61"/>
  <c r="J34" i="61"/>
  <c r="R34" i="61" s="1"/>
  <c r="Q22" i="61"/>
  <c r="J8" i="61"/>
  <c r="Q48" i="61" l="1"/>
  <c r="J45" i="61"/>
  <c r="R45" i="61" s="1"/>
  <c r="N39" i="61"/>
  <c r="J39" i="61"/>
  <c r="R39" i="61" s="1"/>
  <c r="Q36" i="61"/>
  <c r="Q24" i="62"/>
  <c r="N39" i="62"/>
  <c r="J39" i="62"/>
  <c r="R39" i="62" s="1"/>
  <c r="N54" i="62"/>
  <c r="J54" i="62"/>
  <c r="R54" i="62" s="1"/>
  <c r="Q65" i="62"/>
  <c r="J16" i="63"/>
  <c r="Q71" i="62"/>
  <c r="J73" i="63"/>
  <c r="R33" i="61"/>
  <c r="R40" i="61"/>
  <c r="Q28" i="61"/>
  <c r="N19" i="62"/>
  <c r="J19" i="62"/>
  <c r="R19" i="62" s="1"/>
  <c r="R40" i="62"/>
  <c r="Q44" i="62"/>
  <c r="N55" i="62"/>
  <c r="N66" i="62"/>
  <c r="J66" i="62"/>
  <c r="R66" i="62" s="1"/>
  <c r="J24" i="63"/>
  <c r="Q8" i="61"/>
  <c r="R56" i="61"/>
  <c r="Q32" i="61"/>
  <c r="N11" i="61"/>
  <c r="J11" i="61"/>
  <c r="R11" i="61" s="1"/>
  <c r="Q55" i="61"/>
  <c r="N74" i="61"/>
  <c r="J74" i="61"/>
  <c r="J75" i="61" s="1"/>
  <c r="R29" i="62"/>
  <c r="H77" i="61"/>
  <c r="D76" i="61"/>
  <c r="L76" i="61" s="1"/>
  <c r="J72" i="62"/>
  <c r="R72" i="62" s="1"/>
  <c r="R45" i="62"/>
  <c r="Q30" i="61"/>
  <c r="N47" i="61"/>
  <c r="J47" i="61"/>
  <c r="R47" i="61" s="1"/>
  <c r="N58" i="62"/>
  <c r="J58" i="62"/>
  <c r="R58" i="62" s="1"/>
  <c r="R46" i="61"/>
  <c r="N35" i="61"/>
  <c r="J35" i="61"/>
  <c r="R35" i="61" s="1"/>
  <c r="R57" i="62"/>
  <c r="R59" i="62"/>
  <c r="J48" i="63"/>
  <c r="J51" i="63"/>
  <c r="J52" i="63"/>
  <c r="Q59" i="62"/>
  <c r="R48" i="61"/>
  <c r="Q44" i="61"/>
  <c r="N31" i="61"/>
  <c r="J31" i="61"/>
  <c r="R31" i="61" s="1"/>
  <c r="N40" i="61"/>
  <c r="J37" i="61"/>
  <c r="R37" i="61" s="1"/>
  <c r="R37" i="62"/>
  <c r="R18" i="62"/>
  <c r="N40" i="62"/>
  <c r="R49" i="62"/>
  <c r="Q67" i="62"/>
  <c r="R14" i="61"/>
  <c r="Q20" i="61"/>
  <c r="R42" i="61"/>
  <c r="Q63" i="61"/>
  <c r="N66" i="61"/>
  <c r="J66" i="61"/>
  <c r="R66" i="61" s="1"/>
  <c r="R25" i="62"/>
  <c r="R12" i="62"/>
  <c r="N62" i="62"/>
  <c r="J62" i="62"/>
  <c r="R62" i="62" s="1"/>
  <c r="R32" i="61"/>
  <c r="N19" i="61"/>
  <c r="J19" i="61"/>
  <c r="R19" i="61" s="1"/>
  <c r="R71" i="61"/>
  <c r="R31" i="62"/>
  <c r="N23" i="62"/>
  <c r="J23" i="62"/>
  <c r="R23" i="62" s="1"/>
  <c r="R63" i="62"/>
  <c r="J64" i="63"/>
  <c r="J65" i="63"/>
  <c r="Q14" i="61"/>
  <c r="R64" i="61"/>
  <c r="N62" i="61"/>
  <c r="J62" i="61"/>
  <c r="R62" i="61" s="1"/>
  <c r="N47" i="62"/>
  <c r="J47" i="62"/>
  <c r="R47" i="62" s="1"/>
  <c r="Q48" i="62"/>
  <c r="N59" i="62"/>
  <c r="N70" i="62"/>
  <c r="J70" i="62"/>
  <c r="R70" i="62" s="1"/>
  <c r="Q73" i="62"/>
  <c r="Q55" i="62"/>
  <c r="J56" i="63"/>
  <c r="J57" i="63"/>
  <c r="E78" i="63"/>
  <c r="I77" i="62"/>
  <c r="Q77" i="62" s="1"/>
  <c r="N48" i="61"/>
  <c r="J21" i="61"/>
  <c r="R21" i="61" s="1"/>
  <c r="R50" i="61"/>
  <c r="N27" i="61"/>
  <c r="J27" i="61"/>
  <c r="R27" i="61" s="1"/>
  <c r="R36" i="61"/>
  <c r="R72" i="61"/>
  <c r="R67" i="61"/>
  <c r="R20" i="62"/>
  <c r="J51" i="62"/>
  <c r="R51" i="62" s="1"/>
  <c r="R34" i="62"/>
  <c r="J64" i="62"/>
  <c r="R64" i="62" s="1"/>
  <c r="N71" i="62"/>
  <c r="R26" i="61"/>
  <c r="Q71" i="61"/>
  <c r="E75" i="61"/>
  <c r="M75" i="61" s="1"/>
  <c r="I76" i="61"/>
  <c r="Q16" i="62"/>
  <c r="R73" i="62"/>
  <c r="R67" i="62"/>
  <c r="Q75" i="62"/>
  <c r="N7" i="61"/>
  <c r="J7" i="61"/>
  <c r="R7" i="61" s="1"/>
  <c r="N15" i="62"/>
  <c r="J15" i="62"/>
  <c r="R15" i="62" s="1"/>
  <c r="N74" i="62"/>
  <c r="J74" i="62"/>
  <c r="R74" i="62" s="1"/>
  <c r="N43" i="61"/>
  <c r="J43" i="61"/>
  <c r="R43" i="61" s="1"/>
  <c r="R59" i="61"/>
  <c r="N43" i="62"/>
  <c r="J43" i="62"/>
  <c r="R43" i="62" s="1"/>
  <c r="R7" i="62"/>
  <c r="R52" i="62"/>
  <c r="R75" i="62"/>
  <c r="F77" i="63"/>
  <c r="J76" i="63"/>
  <c r="R55" i="61"/>
  <c r="R38" i="61"/>
  <c r="N15" i="61"/>
  <c r="J15" i="61"/>
  <c r="R15" i="61" s="1"/>
  <c r="N36" i="61"/>
  <c r="N58" i="61"/>
  <c r="J58" i="61"/>
  <c r="R58" i="61" s="1"/>
  <c r="R18" i="61"/>
  <c r="G80" i="61"/>
  <c r="C79" i="61"/>
  <c r="K79" i="61" s="1"/>
  <c r="R24" i="62"/>
  <c r="R17" i="62"/>
  <c r="R33" i="62"/>
  <c r="N27" i="62"/>
  <c r="J27" i="62"/>
  <c r="R27" i="62" s="1"/>
  <c r="N44" i="62"/>
  <c r="R11" i="62"/>
  <c r="R55" i="62"/>
  <c r="J32" i="63"/>
  <c r="J29" i="61"/>
  <c r="R29" i="61" s="1"/>
  <c r="R12" i="61"/>
  <c r="N23" i="61"/>
  <c r="J23" i="61"/>
  <c r="R23" i="61" s="1"/>
  <c r="R14" i="62"/>
  <c r="Q8" i="62"/>
  <c r="Q32" i="62"/>
  <c r="Q40" i="62"/>
  <c r="N67" i="62"/>
  <c r="R9" i="61"/>
  <c r="G81" i="61" l="1"/>
  <c r="C80" i="61"/>
  <c r="K80" i="61" s="1"/>
  <c r="R8" i="61"/>
  <c r="H78" i="61"/>
  <c r="D77" i="61"/>
  <c r="L77" i="61" s="1"/>
  <c r="R44" i="61"/>
  <c r="R16" i="61"/>
  <c r="R44" i="62"/>
  <c r="R30" i="61"/>
  <c r="R28" i="61"/>
  <c r="R65" i="62"/>
  <c r="R24" i="61"/>
  <c r="F78" i="63"/>
  <c r="J77" i="62"/>
  <c r="R77" i="62" s="1"/>
  <c r="I77" i="61"/>
  <c r="E76" i="61"/>
  <c r="M76" i="61" s="1"/>
  <c r="E79" i="63"/>
  <c r="I78" i="62"/>
  <c r="Q78" i="62" s="1"/>
  <c r="R16" i="62"/>
  <c r="J76" i="61"/>
  <c r="F75" i="61"/>
  <c r="N75" i="61" s="1"/>
  <c r="R48" i="62"/>
  <c r="R28" i="62"/>
  <c r="R63" i="61"/>
  <c r="R71" i="62"/>
  <c r="R22" i="61"/>
  <c r="R20" i="61"/>
  <c r="F79" i="63" l="1"/>
  <c r="J78" i="62"/>
  <c r="R78" i="62" s="1"/>
  <c r="H79" i="61"/>
  <c r="D78" i="61"/>
  <c r="L78" i="61" s="1"/>
  <c r="J77" i="61"/>
  <c r="F76" i="61"/>
  <c r="N76" i="61" s="1"/>
  <c r="I78" i="61"/>
  <c r="E77" i="61"/>
  <c r="M77" i="61" s="1"/>
  <c r="E80" i="63"/>
  <c r="I79" i="62"/>
  <c r="Q79" i="62" s="1"/>
  <c r="G82" i="61"/>
  <c r="C81" i="61"/>
  <c r="K81" i="61" s="1"/>
  <c r="G83" i="61" l="1"/>
  <c r="C82" i="61"/>
  <c r="K82" i="61" s="1"/>
  <c r="E81" i="63"/>
  <c r="I80" i="62"/>
  <c r="Q80" i="62" s="1"/>
  <c r="J78" i="61"/>
  <c r="F77" i="61"/>
  <c r="N77" i="61" s="1"/>
  <c r="F80" i="63"/>
  <c r="J79" i="62"/>
  <c r="R79" i="62" s="1"/>
  <c r="I79" i="61"/>
  <c r="E78" i="61"/>
  <c r="M78" i="61" s="1"/>
  <c r="H80" i="61"/>
  <c r="D79" i="61"/>
  <c r="L79" i="61" s="1"/>
  <c r="J79" i="61" l="1"/>
  <c r="F78" i="61"/>
  <c r="N78" i="61" s="1"/>
  <c r="H81" i="61"/>
  <c r="D80" i="61"/>
  <c r="L80" i="61" s="1"/>
  <c r="E82" i="63"/>
  <c r="I81" i="62"/>
  <c r="Q81" i="62" s="1"/>
  <c r="F81" i="63"/>
  <c r="J80" i="62"/>
  <c r="R80" i="62" s="1"/>
  <c r="I80" i="61"/>
  <c r="E79" i="61"/>
  <c r="M79" i="61" s="1"/>
  <c r="G84" i="61"/>
  <c r="C83" i="61"/>
  <c r="K83" i="61" s="1"/>
  <c r="G85" i="61" l="1"/>
  <c r="C84" i="61"/>
  <c r="K84" i="61" s="1"/>
  <c r="H82" i="61"/>
  <c r="D81" i="61"/>
  <c r="L81" i="61" s="1"/>
  <c r="F82" i="63"/>
  <c r="J81" i="62"/>
  <c r="R81" i="62" s="1"/>
  <c r="E83" i="63"/>
  <c r="I82" i="62"/>
  <c r="Q82" i="62" s="1"/>
  <c r="I81" i="61"/>
  <c r="E80" i="61"/>
  <c r="M80" i="61" s="1"/>
  <c r="J80" i="61"/>
  <c r="F79" i="61"/>
  <c r="N79" i="61" s="1"/>
  <c r="J81" i="61" l="1"/>
  <c r="F80" i="61"/>
  <c r="N80" i="61" s="1"/>
  <c r="H83" i="61"/>
  <c r="D82" i="61"/>
  <c r="L82" i="61" s="1"/>
  <c r="I82" i="61"/>
  <c r="E81" i="61"/>
  <c r="M81" i="61" s="1"/>
  <c r="F83" i="63"/>
  <c r="J82" i="62"/>
  <c r="R82" i="62" s="1"/>
  <c r="E84" i="63"/>
  <c r="I83" i="62"/>
  <c r="Q83" i="62" s="1"/>
  <c r="G86" i="61"/>
  <c r="C85" i="61"/>
  <c r="K85" i="61" s="1"/>
  <c r="G87" i="61" l="1"/>
  <c r="C86" i="61"/>
  <c r="K86" i="61" s="1"/>
  <c r="I83" i="61"/>
  <c r="E82" i="61"/>
  <c r="M82" i="61" s="1"/>
  <c r="H84" i="61"/>
  <c r="D83" i="61"/>
  <c r="L83" i="61" s="1"/>
  <c r="E85" i="63"/>
  <c r="I84" i="62"/>
  <c r="Q84" i="62" s="1"/>
  <c r="F84" i="63"/>
  <c r="J83" i="62"/>
  <c r="R83" i="62" s="1"/>
  <c r="J82" i="61"/>
  <c r="F81" i="61"/>
  <c r="N81" i="61" s="1"/>
  <c r="I84" i="61" l="1"/>
  <c r="E83" i="61"/>
  <c r="M83" i="61" s="1"/>
  <c r="F85" i="63"/>
  <c r="J84" i="62"/>
  <c r="R84" i="62" s="1"/>
  <c r="J83" i="61"/>
  <c r="F82" i="61"/>
  <c r="N82" i="61" s="1"/>
  <c r="H85" i="61"/>
  <c r="D84" i="61"/>
  <c r="L84" i="61" s="1"/>
  <c r="G88" i="61"/>
  <c r="C87" i="61"/>
  <c r="K87" i="61" s="1"/>
  <c r="E86" i="63"/>
  <c r="I85" i="62"/>
  <c r="Q85" i="62" s="1"/>
  <c r="H86" i="61" l="1"/>
  <c r="D85" i="61"/>
  <c r="L85" i="61" s="1"/>
  <c r="F86" i="63"/>
  <c r="J85" i="62"/>
  <c r="R85" i="62" s="1"/>
  <c r="E87" i="63"/>
  <c r="I86" i="62"/>
  <c r="Q86" i="62" s="1"/>
  <c r="G89" i="61"/>
  <c r="C88" i="61"/>
  <c r="K88" i="61" s="1"/>
  <c r="J84" i="61"/>
  <c r="F83" i="61"/>
  <c r="N83" i="61" s="1"/>
  <c r="I85" i="61"/>
  <c r="E84" i="61"/>
  <c r="M84" i="61" s="1"/>
  <c r="E88" i="63" l="1"/>
  <c r="I87" i="62"/>
  <c r="Q87" i="62" s="1"/>
  <c r="I86" i="61"/>
  <c r="E85" i="61"/>
  <c r="M85" i="61" s="1"/>
  <c r="G90" i="61"/>
  <c r="C89" i="61"/>
  <c r="K89" i="61" s="1"/>
  <c r="F87" i="63"/>
  <c r="J86" i="62"/>
  <c r="R86" i="62" s="1"/>
  <c r="J85" i="61"/>
  <c r="F84" i="61"/>
  <c r="N84" i="61" s="1"/>
  <c r="H87" i="61"/>
  <c r="D86" i="61"/>
  <c r="L86" i="61" s="1"/>
  <c r="H88" i="61" l="1"/>
  <c r="D87" i="61"/>
  <c r="L87" i="61" s="1"/>
  <c r="F88" i="63"/>
  <c r="J87" i="62"/>
  <c r="R87" i="62" s="1"/>
  <c r="I87" i="61"/>
  <c r="E86" i="61"/>
  <c r="M86" i="61" s="1"/>
  <c r="J86" i="61"/>
  <c r="F85" i="61"/>
  <c r="N85" i="61" s="1"/>
  <c r="G91" i="61"/>
  <c r="C90" i="61"/>
  <c r="K90" i="61" s="1"/>
  <c r="E89" i="63"/>
  <c r="I88" i="62"/>
  <c r="Q88" i="62" s="1"/>
  <c r="J87" i="61" l="1"/>
  <c r="F86" i="61"/>
  <c r="N86" i="61" s="1"/>
  <c r="E90" i="63"/>
  <c r="I89" i="62"/>
  <c r="Q89" i="62" s="1"/>
  <c r="F89" i="63"/>
  <c r="J88" i="62"/>
  <c r="R88" i="62" s="1"/>
  <c r="G92" i="61"/>
  <c r="C91" i="61"/>
  <c r="K91" i="61" s="1"/>
  <c r="I88" i="61"/>
  <c r="E87" i="61"/>
  <c r="M87" i="61" s="1"/>
  <c r="H89" i="61"/>
  <c r="D88" i="61"/>
  <c r="L88" i="61" s="1"/>
  <c r="H90" i="61" l="1"/>
  <c r="D89" i="61"/>
  <c r="L89" i="61" s="1"/>
  <c r="G93" i="61"/>
  <c r="C92" i="61"/>
  <c r="K92" i="61" s="1"/>
  <c r="E91" i="63"/>
  <c r="I90" i="62"/>
  <c r="Q90" i="62" s="1"/>
  <c r="I89" i="61"/>
  <c r="E88" i="61"/>
  <c r="M88" i="61" s="1"/>
  <c r="F90" i="63"/>
  <c r="J89" i="62"/>
  <c r="R89" i="62" s="1"/>
  <c r="J88" i="61"/>
  <c r="F87" i="61"/>
  <c r="N87" i="61" s="1"/>
  <c r="G94" i="61" l="1"/>
  <c r="C93" i="61"/>
  <c r="K93" i="61" s="1"/>
  <c r="J89" i="61"/>
  <c r="F88" i="61"/>
  <c r="N88" i="61" s="1"/>
  <c r="I90" i="61"/>
  <c r="E89" i="61"/>
  <c r="M89" i="61" s="1"/>
  <c r="F91" i="63"/>
  <c r="J90" i="62"/>
  <c r="R90" i="62" s="1"/>
  <c r="E92" i="63"/>
  <c r="I91" i="62"/>
  <c r="Q91" i="62" s="1"/>
  <c r="H91" i="61"/>
  <c r="D90" i="61"/>
  <c r="L90" i="61" s="1"/>
  <c r="H92" i="61" l="1"/>
  <c r="D91" i="61"/>
  <c r="L91" i="61" s="1"/>
  <c r="J90" i="61"/>
  <c r="F89" i="61"/>
  <c r="N89" i="61" s="1"/>
  <c r="F92" i="63"/>
  <c r="J91" i="62"/>
  <c r="R91" i="62" s="1"/>
  <c r="E93" i="63"/>
  <c r="I92" i="62"/>
  <c r="Q92" i="62" s="1"/>
  <c r="I91" i="61"/>
  <c r="E90" i="61"/>
  <c r="M90" i="61" s="1"/>
  <c r="G95" i="61"/>
  <c r="C94" i="61"/>
  <c r="K94" i="61" s="1"/>
  <c r="G96" i="61" l="1"/>
  <c r="C95" i="61"/>
  <c r="K95" i="61" s="1"/>
  <c r="E94" i="63"/>
  <c r="I93" i="62"/>
  <c r="Q93" i="62" s="1"/>
  <c r="J91" i="61"/>
  <c r="F90" i="61"/>
  <c r="N90" i="61" s="1"/>
  <c r="I92" i="61"/>
  <c r="E91" i="61"/>
  <c r="M91" i="61" s="1"/>
  <c r="F93" i="63"/>
  <c r="J92" i="62"/>
  <c r="R92" i="62" s="1"/>
  <c r="H93" i="61"/>
  <c r="D92" i="61"/>
  <c r="L92" i="61" s="1"/>
  <c r="E95" i="63" l="1"/>
  <c r="I94" i="62"/>
  <c r="Q94" i="62" s="1"/>
  <c r="I93" i="61"/>
  <c r="E92" i="61"/>
  <c r="M92" i="61" s="1"/>
  <c r="H94" i="61"/>
  <c r="D93" i="61"/>
  <c r="L93" i="61" s="1"/>
  <c r="F94" i="63"/>
  <c r="J93" i="62"/>
  <c r="R93" i="62" s="1"/>
  <c r="J92" i="61"/>
  <c r="F91" i="61"/>
  <c r="N91" i="61" s="1"/>
  <c r="G97" i="61"/>
  <c r="C96" i="61"/>
  <c r="K96" i="61" s="1"/>
  <c r="G98" i="61" l="1"/>
  <c r="C97" i="61"/>
  <c r="K97" i="61" s="1"/>
  <c r="F95" i="63"/>
  <c r="J94" i="62"/>
  <c r="R94" i="62" s="1"/>
  <c r="I94" i="61"/>
  <c r="E93" i="61"/>
  <c r="M93" i="61" s="1"/>
  <c r="J93" i="61"/>
  <c r="F92" i="61"/>
  <c r="N92" i="61" s="1"/>
  <c r="H95" i="61"/>
  <c r="D94" i="61"/>
  <c r="L94" i="61" s="1"/>
  <c r="E96" i="63"/>
  <c r="I95" i="62"/>
  <c r="Q95" i="62" s="1"/>
  <c r="E97" i="63" l="1"/>
  <c r="I96" i="62"/>
  <c r="Q96" i="62" s="1"/>
  <c r="F96" i="63"/>
  <c r="J95" i="62"/>
  <c r="R95" i="62" s="1"/>
  <c r="J94" i="61"/>
  <c r="F93" i="61"/>
  <c r="N93" i="61" s="1"/>
  <c r="H96" i="61"/>
  <c r="D95" i="61"/>
  <c r="L95" i="61" s="1"/>
  <c r="I95" i="61"/>
  <c r="E94" i="61"/>
  <c r="M94" i="61" s="1"/>
  <c r="G99" i="61"/>
  <c r="C98" i="61"/>
  <c r="K98" i="61" s="1"/>
  <c r="G100" i="61" l="1"/>
  <c r="C99" i="61"/>
  <c r="K99" i="61" s="1"/>
  <c r="H97" i="61"/>
  <c r="D96" i="61"/>
  <c r="L96" i="61" s="1"/>
  <c r="F97" i="63"/>
  <c r="J96" i="62"/>
  <c r="R96" i="62" s="1"/>
  <c r="I96" i="61"/>
  <c r="E95" i="61"/>
  <c r="M95" i="61" s="1"/>
  <c r="J95" i="61"/>
  <c r="F94" i="61"/>
  <c r="N94" i="61" s="1"/>
  <c r="E98" i="63"/>
  <c r="I97" i="62"/>
  <c r="Q97" i="62" s="1"/>
  <c r="E99" i="63" l="1"/>
  <c r="I98" i="62"/>
  <c r="Q98" i="62" s="1"/>
  <c r="I97" i="61"/>
  <c r="E96" i="61"/>
  <c r="M96" i="61" s="1"/>
  <c r="H98" i="61"/>
  <c r="D97" i="61"/>
  <c r="L97" i="61" s="1"/>
  <c r="J96" i="61"/>
  <c r="F95" i="61"/>
  <c r="N95" i="61" s="1"/>
  <c r="F98" i="63"/>
  <c r="J97" i="62"/>
  <c r="R97" i="62" s="1"/>
  <c r="G101" i="61"/>
  <c r="C100" i="61"/>
  <c r="K100" i="61" s="1"/>
  <c r="G102" i="61" l="1"/>
  <c r="C101" i="61"/>
  <c r="K101" i="61" s="1"/>
  <c r="J97" i="61"/>
  <c r="F96" i="61"/>
  <c r="N96" i="61" s="1"/>
  <c r="I98" i="61"/>
  <c r="E97" i="61"/>
  <c r="M97" i="61" s="1"/>
  <c r="F99" i="63"/>
  <c r="J98" i="62"/>
  <c r="R98" i="62" s="1"/>
  <c r="H99" i="61"/>
  <c r="D98" i="61"/>
  <c r="L98" i="61" s="1"/>
  <c r="E100" i="63"/>
  <c r="I99" i="62"/>
  <c r="Q99" i="62" s="1"/>
  <c r="E101" i="63" l="1"/>
  <c r="I100" i="62"/>
  <c r="Q100" i="62" s="1"/>
  <c r="F100" i="63"/>
  <c r="J99" i="62"/>
  <c r="R99" i="62" s="1"/>
  <c r="J98" i="61"/>
  <c r="F97" i="61"/>
  <c r="N97" i="61" s="1"/>
  <c r="H100" i="61"/>
  <c r="D99" i="61"/>
  <c r="L99" i="61" s="1"/>
  <c r="I99" i="61"/>
  <c r="E98" i="61"/>
  <c r="M98" i="61" s="1"/>
  <c r="G103" i="61"/>
  <c r="C102" i="61"/>
  <c r="K102" i="61" s="1"/>
  <c r="H101" i="61" l="1"/>
  <c r="D100" i="61"/>
  <c r="L100" i="61" s="1"/>
  <c r="F101" i="63"/>
  <c r="J100" i="62"/>
  <c r="R100" i="62" s="1"/>
  <c r="G104" i="61"/>
  <c r="C103" i="61"/>
  <c r="K103" i="61" s="1"/>
  <c r="I100" i="61"/>
  <c r="E99" i="61"/>
  <c r="M99" i="61" s="1"/>
  <c r="J99" i="61"/>
  <c r="F98" i="61"/>
  <c r="N98" i="61" s="1"/>
  <c r="E102" i="63"/>
  <c r="I101" i="62"/>
  <c r="Q101" i="62" s="1"/>
  <c r="E103" i="63" l="1"/>
  <c r="I102" i="62"/>
  <c r="Q102" i="62" s="1"/>
  <c r="I101" i="61"/>
  <c r="E100" i="61"/>
  <c r="M100" i="61" s="1"/>
  <c r="F102" i="63"/>
  <c r="J101" i="62"/>
  <c r="R101" i="62" s="1"/>
  <c r="J100" i="61"/>
  <c r="F99" i="61"/>
  <c r="N99" i="61" s="1"/>
  <c r="G105" i="61"/>
  <c r="C104" i="61"/>
  <c r="K104" i="61" s="1"/>
  <c r="H102" i="61"/>
  <c r="D101" i="61"/>
  <c r="L101" i="61" s="1"/>
  <c r="H103" i="61" l="1"/>
  <c r="D102" i="61"/>
  <c r="L102" i="61" s="1"/>
  <c r="J101" i="61"/>
  <c r="F100" i="61"/>
  <c r="N100" i="61" s="1"/>
  <c r="I102" i="61"/>
  <c r="E101" i="61"/>
  <c r="M101" i="61" s="1"/>
  <c r="G106" i="61"/>
  <c r="C105" i="61"/>
  <c r="K105" i="61" s="1"/>
  <c r="F103" i="63"/>
  <c r="J102" i="62"/>
  <c r="R102" i="62" s="1"/>
  <c r="E104" i="63"/>
  <c r="I103" i="62"/>
  <c r="Q103" i="62" s="1"/>
  <c r="E105" i="63" l="1"/>
  <c r="I104" i="62"/>
  <c r="Q104" i="62" s="1"/>
  <c r="G107" i="61"/>
  <c r="C106" i="61"/>
  <c r="K106" i="61" s="1"/>
  <c r="J102" i="61"/>
  <c r="F101" i="61"/>
  <c r="N101" i="61" s="1"/>
  <c r="F104" i="63"/>
  <c r="J103" i="62"/>
  <c r="R103" i="62" s="1"/>
  <c r="I103" i="61"/>
  <c r="E102" i="61"/>
  <c r="M102" i="61" s="1"/>
  <c r="H104" i="61"/>
  <c r="D103" i="61"/>
  <c r="L103" i="61" s="1"/>
  <c r="H105" i="61" l="1"/>
  <c r="D104" i="61"/>
  <c r="L104" i="61" s="1"/>
  <c r="F105" i="63"/>
  <c r="J104" i="62"/>
  <c r="R104" i="62" s="1"/>
  <c r="G108" i="61"/>
  <c r="C107" i="61"/>
  <c r="K107" i="61" s="1"/>
  <c r="I104" i="61"/>
  <c r="E103" i="61"/>
  <c r="M103" i="61" s="1"/>
  <c r="J103" i="61"/>
  <c r="F102" i="61"/>
  <c r="N102" i="61" s="1"/>
  <c r="E106" i="63"/>
  <c r="I105" i="62"/>
  <c r="Q105" i="62" s="1"/>
  <c r="F106" i="63" l="1"/>
  <c r="J105" i="62"/>
  <c r="R105" i="62" s="1"/>
  <c r="E107" i="63"/>
  <c r="I106" i="62"/>
  <c r="Q106" i="62" s="1"/>
  <c r="I105" i="61"/>
  <c r="E104" i="61"/>
  <c r="M104" i="61" s="1"/>
  <c r="J104" i="61"/>
  <c r="F103" i="61"/>
  <c r="N103" i="61" s="1"/>
  <c r="G109" i="61"/>
  <c r="C108" i="61"/>
  <c r="K108" i="61" s="1"/>
  <c r="H106" i="61"/>
  <c r="D105" i="61"/>
  <c r="L105" i="61" s="1"/>
  <c r="J105" i="61" l="1"/>
  <c r="F104" i="61"/>
  <c r="N104" i="61" s="1"/>
  <c r="H107" i="61"/>
  <c r="D106" i="61"/>
  <c r="L106" i="61" s="1"/>
  <c r="E108" i="63"/>
  <c r="I107" i="62"/>
  <c r="Q107" i="62" s="1"/>
  <c r="G110" i="61"/>
  <c r="C109" i="61"/>
  <c r="K109" i="61" s="1"/>
  <c r="I106" i="61"/>
  <c r="E105" i="61"/>
  <c r="M105" i="61" s="1"/>
  <c r="F107" i="63"/>
  <c r="J106" i="62"/>
  <c r="R106" i="62" s="1"/>
  <c r="F108" i="63" l="1"/>
  <c r="J107" i="62"/>
  <c r="R107" i="62" s="1"/>
  <c r="H108" i="61"/>
  <c r="D107" i="61"/>
  <c r="L107" i="61" s="1"/>
  <c r="G111" i="61"/>
  <c r="C110" i="61"/>
  <c r="K110" i="61" s="1"/>
  <c r="I107" i="61"/>
  <c r="E106" i="61"/>
  <c r="M106" i="61" s="1"/>
  <c r="E109" i="63"/>
  <c r="I108" i="62"/>
  <c r="Q108" i="62" s="1"/>
  <c r="J106" i="61"/>
  <c r="F105" i="61"/>
  <c r="N105" i="61" s="1"/>
  <c r="J107" i="61" l="1"/>
  <c r="F106" i="61"/>
  <c r="N106" i="61" s="1"/>
  <c r="I108" i="61"/>
  <c r="E107" i="61"/>
  <c r="M107" i="61" s="1"/>
  <c r="H109" i="61"/>
  <c r="D108" i="61"/>
  <c r="L108" i="61" s="1"/>
  <c r="E110" i="63"/>
  <c r="I109" i="62"/>
  <c r="Q109" i="62" s="1"/>
  <c r="G112" i="61"/>
  <c r="C111" i="61"/>
  <c r="K111" i="61" s="1"/>
  <c r="F109" i="63"/>
  <c r="J108" i="62"/>
  <c r="R108" i="62" s="1"/>
  <c r="E111" i="63" l="1"/>
  <c r="I110" i="62"/>
  <c r="Q110" i="62" s="1"/>
  <c r="I109" i="61"/>
  <c r="E108" i="61"/>
  <c r="M108" i="61" s="1"/>
  <c r="F110" i="63"/>
  <c r="J109" i="62"/>
  <c r="R109" i="62" s="1"/>
  <c r="G113" i="61"/>
  <c r="C112" i="61"/>
  <c r="K112" i="61" s="1"/>
  <c r="H110" i="61"/>
  <c r="D109" i="61"/>
  <c r="L109" i="61" s="1"/>
  <c r="J108" i="61"/>
  <c r="F107" i="61"/>
  <c r="N107" i="61" s="1"/>
  <c r="I110" i="61" l="1"/>
  <c r="E109" i="61"/>
  <c r="M109" i="61" s="1"/>
  <c r="J109" i="61"/>
  <c r="F108" i="61"/>
  <c r="N108" i="61" s="1"/>
  <c r="G114" i="61"/>
  <c r="C113" i="61"/>
  <c r="K113" i="61" s="1"/>
  <c r="H111" i="61"/>
  <c r="D110" i="61"/>
  <c r="L110" i="61" s="1"/>
  <c r="F111" i="63"/>
  <c r="J110" i="62"/>
  <c r="R110" i="62" s="1"/>
  <c r="E112" i="63"/>
  <c r="I111" i="62"/>
  <c r="Q111" i="62" s="1"/>
  <c r="H112" i="61" l="1"/>
  <c r="D111" i="61"/>
  <c r="L111" i="61" s="1"/>
  <c r="J110" i="61"/>
  <c r="F109" i="61"/>
  <c r="N109" i="61" s="1"/>
  <c r="E113" i="63"/>
  <c r="I112" i="62"/>
  <c r="Q112" i="62" s="1"/>
  <c r="F112" i="63"/>
  <c r="J111" i="62"/>
  <c r="R111" i="62" s="1"/>
  <c r="G115" i="61"/>
  <c r="C114" i="61"/>
  <c r="K114" i="61" s="1"/>
  <c r="I111" i="61"/>
  <c r="E110" i="61"/>
  <c r="M110" i="61" s="1"/>
  <c r="I112" i="61" l="1"/>
  <c r="E111" i="61"/>
  <c r="M111" i="61" s="1"/>
  <c r="J111" i="61"/>
  <c r="F110" i="61"/>
  <c r="N110" i="61" s="1"/>
  <c r="F113" i="63"/>
  <c r="J112" i="62"/>
  <c r="R112" i="62" s="1"/>
  <c r="G116" i="61"/>
  <c r="C115" i="61"/>
  <c r="K115" i="61" s="1"/>
  <c r="E114" i="63"/>
  <c r="I113" i="62"/>
  <c r="Q113" i="62" s="1"/>
  <c r="D112" i="61"/>
  <c r="L112" i="61" s="1"/>
  <c r="H113" i="61"/>
  <c r="J112" i="61" l="1"/>
  <c r="F111" i="61"/>
  <c r="N111" i="61" s="1"/>
  <c r="H114" i="61"/>
  <c r="D113" i="61"/>
  <c r="L113" i="61" s="1"/>
  <c r="G117" i="61"/>
  <c r="C116" i="61"/>
  <c r="K116" i="61" s="1"/>
  <c r="E115" i="63"/>
  <c r="I114" i="62"/>
  <c r="Q114" i="62" s="1"/>
  <c r="F114" i="63"/>
  <c r="J113" i="62"/>
  <c r="R113" i="62" s="1"/>
  <c r="E112" i="61"/>
  <c r="M112" i="61" s="1"/>
  <c r="I113" i="61"/>
  <c r="I114" i="61" l="1"/>
  <c r="E113" i="61"/>
  <c r="M113" i="61" s="1"/>
  <c r="H115" i="61"/>
  <c r="D114" i="61"/>
  <c r="L114" i="61" s="1"/>
  <c r="E116" i="63"/>
  <c r="I115" i="62"/>
  <c r="Q115" i="62" s="1"/>
  <c r="F115" i="63"/>
  <c r="J114" i="62"/>
  <c r="R114" i="62" s="1"/>
  <c r="G118" i="61"/>
  <c r="C117" i="61"/>
  <c r="K117" i="61" s="1"/>
  <c r="J113" i="61"/>
  <c r="F112" i="61"/>
  <c r="N112" i="61" s="1"/>
  <c r="J114" i="61" l="1"/>
  <c r="F113" i="61"/>
  <c r="N113" i="61" s="1"/>
  <c r="H116" i="61"/>
  <c r="D115" i="61"/>
  <c r="L115" i="61" s="1"/>
  <c r="F116" i="63"/>
  <c r="J115" i="62"/>
  <c r="R115" i="62" s="1"/>
  <c r="G119" i="61"/>
  <c r="C118" i="61"/>
  <c r="K118" i="61" s="1"/>
  <c r="E117" i="63"/>
  <c r="I116" i="62"/>
  <c r="Q116" i="62" s="1"/>
  <c r="I115" i="61"/>
  <c r="E114" i="61"/>
  <c r="M114" i="61" s="1"/>
  <c r="H117" i="61" l="1"/>
  <c r="D116" i="61"/>
  <c r="L116" i="61" s="1"/>
  <c r="I116" i="61"/>
  <c r="E115" i="61"/>
  <c r="M115" i="61" s="1"/>
  <c r="G120" i="61"/>
  <c r="C119" i="61"/>
  <c r="K119" i="61" s="1"/>
  <c r="E118" i="63"/>
  <c r="I117" i="62"/>
  <c r="Q117" i="62" s="1"/>
  <c r="F117" i="63"/>
  <c r="J116" i="62"/>
  <c r="R116" i="62" s="1"/>
  <c r="J115" i="61"/>
  <c r="F114" i="61"/>
  <c r="N114" i="61" s="1"/>
  <c r="J116" i="61" l="1"/>
  <c r="F115" i="61"/>
  <c r="N115" i="61" s="1"/>
  <c r="E119" i="63"/>
  <c r="I118" i="62"/>
  <c r="Q118" i="62" s="1"/>
  <c r="I117" i="61"/>
  <c r="E116" i="61"/>
  <c r="M116" i="61" s="1"/>
  <c r="F118" i="63"/>
  <c r="J117" i="62"/>
  <c r="R117" i="62" s="1"/>
  <c r="G121" i="61"/>
  <c r="C120" i="61"/>
  <c r="K120" i="61" s="1"/>
  <c r="H118" i="61"/>
  <c r="D117" i="61"/>
  <c r="L117" i="61" s="1"/>
  <c r="H119" i="61" l="1"/>
  <c r="D118" i="61"/>
  <c r="L118" i="61" s="1"/>
  <c r="F119" i="63"/>
  <c r="J118" i="62"/>
  <c r="R118" i="62" s="1"/>
  <c r="E120" i="63"/>
  <c r="I119" i="62"/>
  <c r="Q119" i="62" s="1"/>
  <c r="G122" i="61"/>
  <c r="C121" i="61"/>
  <c r="K121" i="61" s="1"/>
  <c r="I118" i="61"/>
  <c r="E117" i="61"/>
  <c r="M117" i="61" s="1"/>
  <c r="J117" i="61"/>
  <c r="F116" i="61"/>
  <c r="N116" i="61" s="1"/>
  <c r="F120" i="63" l="1"/>
  <c r="J119" i="62"/>
  <c r="R119" i="62" s="1"/>
  <c r="G123" i="61"/>
  <c r="C122" i="61"/>
  <c r="K122" i="61" s="1"/>
  <c r="J118" i="61"/>
  <c r="F117" i="61"/>
  <c r="N117" i="61" s="1"/>
  <c r="I119" i="61"/>
  <c r="E118" i="61"/>
  <c r="M118" i="61" s="1"/>
  <c r="E121" i="63"/>
  <c r="I120" i="62"/>
  <c r="Q120" i="62" s="1"/>
  <c r="H120" i="61"/>
  <c r="D119" i="61"/>
  <c r="L119" i="61" s="1"/>
  <c r="H121" i="61" l="1"/>
  <c r="D120" i="61"/>
  <c r="L120" i="61" s="1"/>
  <c r="I120" i="61"/>
  <c r="E119" i="61"/>
  <c r="M119" i="61" s="1"/>
  <c r="G124" i="61"/>
  <c r="C123" i="61"/>
  <c r="K123" i="61" s="1"/>
  <c r="E122" i="63"/>
  <c r="I121" i="62"/>
  <c r="Q121" i="62" s="1"/>
  <c r="J119" i="61"/>
  <c r="F118" i="61"/>
  <c r="N118" i="61" s="1"/>
  <c r="F121" i="63"/>
  <c r="J120" i="62"/>
  <c r="R120" i="62" s="1"/>
  <c r="E123" i="63" l="1"/>
  <c r="I122" i="62"/>
  <c r="Q122" i="62" s="1"/>
  <c r="F122" i="63"/>
  <c r="J121" i="62"/>
  <c r="R121" i="62" s="1"/>
  <c r="I121" i="61"/>
  <c r="E120" i="61"/>
  <c r="M120" i="61" s="1"/>
  <c r="J120" i="61"/>
  <c r="F119" i="61"/>
  <c r="N119" i="61" s="1"/>
  <c r="G125" i="61"/>
  <c r="C125" i="61" s="1"/>
  <c r="C124" i="61"/>
  <c r="K124" i="61" s="1"/>
  <c r="H122" i="61"/>
  <c r="D121" i="61"/>
  <c r="L121" i="61" s="1"/>
  <c r="H123" i="61" l="1"/>
  <c r="D122" i="61"/>
  <c r="L122" i="61" s="1"/>
  <c r="F123" i="63"/>
  <c r="J122" i="62"/>
  <c r="R122" i="62" s="1"/>
  <c r="J121" i="61"/>
  <c r="F120" i="61"/>
  <c r="N120" i="61" s="1"/>
  <c r="K125" i="61"/>
  <c r="I122" i="61"/>
  <c r="E121" i="61"/>
  <c r="M121" i="61" s="1"/>
  <c r="E124" i="63"/>
  <c r="I123" i="62"/>
  <c r="Q123" i="62" s="1"/>
  <c r="F124" i="63" l="1"/>
  <c r="J123" i="62"/>
  <c r="R123" i="62" s="1"/>
  <c r="I123" i="61"/>
  <c r="E122" i="61"/>
  <c r="M122" i="61" s="1"/>
  <c r="E125" i="63"/>
  <c r="I124" i="62"/>
  <c r="Q124" i="62" s="1"/>
  <c r="J122" i="61"/>
  <c r="F121" i="61"/>
  <c r="N121" i="61" s="1"/>
  <c r="H124" i="61"/>
  <c r="D123" i="61"/>
  <c r="L123" i="61" s="1"/>
  <c r="I124" i="61" l="1"/>
  <c r="E123" i="61"/>
  <c r="M123" i="61" s="1"/>
  <c r="J123" i="61"/>
  <c r="F122" i="61"/>
  <c r="N122" i="61" s="1"/>
  <c r="H125" i="61"/>
  <c r="D125" i="61" s="1"/>
  <c r="L125" i="61" s="1"/>
  <c r="D124" i="61"/>
  <c r="L124" i="61" s="1"/>
  <c r="E126" i="63"/>
  <c r="I125" i="62"/>
  <c r="Q125" i="62" s="1"/>
  <c r="F125" i="63"/>
  <c r="J124" i="62"/>
  <c r="R124" i="62" s="1"/>
  <c r="E127" i="63" l="1"/>
  <c r="I127" i="62" s="1"/>
  <c r="Q127" i="62" s="1"/>
  <c r="I126" i="62"/>
  <c r="Q126" i="62" s="1"/>
  <c r="J124" i="61"/>
  <c r="F123" i="61"/>
  <c r="N123" i="61" s="1"/>
  <c r="F126" i="63"/>
  <c r="J125" i="62"/>
  <c r="R125" i="62" s="1"/>
  <c r="I125" i="61"/>
  <c r="E125" i="61" s="1"/>
  <c r="E124" i="61"/>
  <c r="M124" i="61" s="1"/>
  <c r="M125" i="61" l="1"/>
  <c r="J125" i="61"/>
  <c r="F124" i="61"/>
  <c r="N124" i="61" s="1"/>
  <c r="F127" i="63"/>
  <c r="J127" i="62" s="1"/>
  <c r="R127" i="62" s="1"/>
  <c r="J126" i="62"/>
  <c r="R126" i="62" s="1"/>
  <c r="F125" i="61" l="1"/>
  <c r="N125" i="61" s="1"/>
  <c r="D6" i="59" l="1"/>
  <c r="E6" i="59" s="1"/>
  <c r="F6" i="59" s="1"/>
  <c r="R104" i="58"/>
  <c r="Q104" i="58"/>
  <c r="P104" i="58"/>
  <c r="O104" i="58"/>
  <c r="N104" i="58"/>
  <c r="M104" i="58"/>
  <c r="L104" i="58"/>
  <c r="K104" i="58"/>
  <c r="R103" i="58"/>
  <c r="Q103" i="58"/>
  <c r="P103" i="58"/>
  <c r="O103" i="58"/>
  <c r="N103" i="58"/>
  <c r="M103" i="58"/>
  <c r="L103" i="58"/>
  <c r="K103" i="58"/>
  <c r="R102" i="58"/>
  <c r="Q102" i="58"/>
  <c r="P102" i="58"/>
  <c r="O102" i="58"/>
  <c r="N102" i="58"/>
  <c r="M102" i="58"/>
  <c r="L102" i="58"/>
  <c r="K102" i="58"/>
  <c r="R101" i="58"/>
  <c r="Q101" i="58"/>
  <c r="P101" i="58"/>
  <c r="O101" i="58"/>
  <c r="N101" i="58"/>
  <c r="M101" i="58"/>
  <c r="L101" i="58"/>
  <c r="K101" i="58"/>
  <c r="R100" i="58"/>
  <c r="Q100" i="58"/>
  <c r="P100" i="58"/>
  <c r="O100" i="58"/>
  <c r="N100" i="58"/>
  <c r="M100" i="58"/>
  <c r="L100" i="58"/>
  <c r="K100" i="58"/>
  <c r="R99" i="58"/>
  <c r="Q99" i="58"/>
  <c r="P99" i="58"/>
  <c r="O99" i="58"/>
  <c r="N99" i="58"/>
  <c r="M99" i="58"/>
  <c r="L99" i="58"/>
  <c r="K99" i="58"/>
  <c r="R98" i="58"/>
  <c r="Q98" i="58"/>
  <c r="P98" i="58"/>
  <c r="O98" i="58"/>
  <c r="N98" i="58"/>
  <c r="M98" i="58"/>
  <c r="L98" i="58"/>
  <c r="K98" i="58"/>
  <c r="R97" i="58"/>
  <c r="Q97" i="58"/>
  <c r="P97" i="58"/>
  <c r="O97" i="58"/>
  <c r="N97" i="58"/>
  <c r="M97" i="58"/>
  <c r="L97" i="58"/>
  <c r="K97" i="58"/>
  <c r="R96" i="58"/>
  <c r="Q96" i="58"/>
  <c r="P96" i="58"/>
  <c r="O96" i="58"/>
  <c r="N96" i="58"/>
  <c r="M96" i="58"/>
  <c r="L96" i="58"/>
  <c r="K96" i="58"/>
  <c r="R95" i="58"/>
  <c r="Q95" i="58"/>
  <c r="P95" i="58"/>
  <c r="O95" i="58"/>
  <c r="N95" i="58"/>
  <c r="M95" i="58"/>
  <c r="L95" i="58"/>
  <c r="K95" i="58"/>
  <c r="R94" i="58"/>
  <c r="Q94" i="58"/>
  <c r="P94" i="58"/>
  <c r="O94" i="58"/>
  <c r="N94" i="58"/>
  <c r="M94" i="58"/>
  <c r="L94" i="58"/>
  <c r="K94" i="58"/>
  <c r="R93" i="58"/>
  <c r="Q93" i="58"/>
  <c r="P93" i="58"/>
  <c r="O93" i="58"/>
  <c r="N93" i="58"/>
  <c r="M93" i="58"/>
  <c r="L93" i="58"/>
  <c r="K93" i="58"/>
  <c r="R92" i="58"/>
  <c r="Q92" i="58"/>
  <c r="P92" i="58"/>
  <c r="O92" i="58"/>
  <c r="N92" i="58"/>
  <c r="M92" i="58"/>
  <c r="L92" i="58"/>
  <c r="K92" i="58"/>
  <c r="R91" i="58"/>
  <c r="Q91" i="58"/>
  <c r="P91" i="58"/>
  <c r="O91" i="58"/>
  <c r="N91" i="58"/>
  <c r="M91" i="58"/>
  <c r="L91" i="58"/>
  <c r="K91" i="58"/>
  <c r="R90" i="58"/>
  <c r="Q90" i="58"/>
  <c r="P90" i="58"/>
  <c r="O90" i="58"/>
  <c r="N90" i="58"/>
  <c r="M90" i="58"/>
  <c r="L90" i="58"/>
  <c r="K90" i="58"/>
  <c r="R89" i="58"/>
  <c r="Q89" i="58"/>
  <c r="P89" i="58"/>
  <c r="O89" i="58"/>
  <c r="N89" i="58"/>
  <c r="M89" i="58"/>
  <c r="L89" i="58"/>
  <c r="K89" i="58"/>
  <c r="R88" i="58"/>
  <c r="Q88" i="58"/>
  <c r="P88" i="58"/>
  <c r="O88" i="58"/>
  <c r="N88" i="58"/>
  <c r="M88" i="58"/>
  <c r="L88" i="58"/>
  <c r="K88" i="58"/>
  <c r="R87" i="58"/>
  <c r="Q87" i="58"/>
  <c r="P87" i="58"/>
  <c r="O87" i="58"/>
  <c r="N87" i="58"/>
  <c r="M87" i="58"/>
  <c r="L87" i="58"/>
  <c r="K87" i="58"/>
  <c r="R86" i="58"/>
  <c r="Q86" i="58"/>
  <c r="P86" i="58"/>
  <c r="O86" i="58"/>
  <c r="N86" i="58"/>
  <c r="M86" i="58"/>
  <c r="L86" i="58"/>
  <c r="K86" i="58"/>
  <c r="R85" i="58"/>
  <c r="Q85" i="58"/>
  <c r="P85" i="58"/>
  <c r="O85" i="58"/>
  <c r="N85" i="58"/>
  <c r="M85" i="58"/>
  <c r="L85" i="58"/>
  <c r="K85" i="58"/>
  <c r="R84" i="58"/>
  <c r="Q84" i="58"/>
  <c r="P84" i="58"/>
  <c r="O84" i="58"/>
  <c r="N84" i="58"/>
  <c r="M84" i="58"/>
  <c r="L84" i="58"/>
  <c r="K84" i="58"/>
  <c r="R83" i="58"/>
  <c r="Q83" i="58"/>
  <c r="P83" i="58"/>
  <c r="O83" i="58"/>
  <c r="N83" i="58"/>
  <c r="M83" i="58"/>
  <c r="L83" i="58"/>
  <c r="K83" i="58"/>
  <c r="R82" i="58"/>
  <c r="Q82" i="58"/>
  <c r="P82" i="58"/>
  <c r="O82" i="58"/>
  <c r="N82" i="58"/>
  <c r="M82" i="58"/>
  <c r="L82" i="58"/>
  <c r="K82" i="58"/>
  <c r="R81" i="58"/>
  <c r="Q81" i="58"/>
  <c r="P81" i="58"/>
  <c r="O81" i="58"/>
  <c r="N81" i="58"/>
  <c r="M81" i="58"/>
  <c r="L81" i="58"/>
  <c r="K81" i="58"/>
  <c r="R80" i="58"/>
  <c r="Q80" i="58"/>
  <c r="P80" i="58"/>
  <c r="O80" i="58"/>
  <c r="N80" i="58"/>
  <c r="M80" i="58"/>
  <c r="L80" i="58"/>
  <c r="K80" i="58"/>
  <c r="R79" i="58"/>
  <c r="Q79" i="58"/>
  <c r="P79" i="58"/>
  <c r="O79" i="58"/>
  <c r="N79" i="58"/>
  <c r="M79" i="58"/>
  <c r="L79" i="58"/>
  <c r="K79" i="58"/>
  <c r="R78" i="58"/>
  <c r="Q78" i="58"/>
  <c r="P78" i="58"/>
  <c r="O78" i="58"/>
  <c r="N78" i="58"/>
  <c r="M78" i="58"/>
  <c r="L78" i="58"/>
  <c r="K78" i="58"/>
  <c r="R77" i="58"/>
  <c r="Q77" i="58"/>
  <c r="P77" i="58"/>
  <c r="O77" i="58"/>
  <c r="N77" i="58"/>
  <c r="M77" i="58"/>
  <c r="L77" i="58"/>
  <c r="K77" i="58"/>
  <c r="R76" i="58"/>
  <c r="Q76" i="58"/>
  <c r="P76" i="58"/>
  <c r="O76" i="58"/>
  <c r="N76" i="58"/>
  <c r="M76" i="58"/>
  <c r="L76" i="58"/>
  <c r="K76" i="58"/>
  <c r="R75" i="58"/>
  <c r="Q75" i="58"/>
  <c r="P75" i="58"/>
  <c r="O75" i="58"/>
  <c r="N75" i="58"/>
  <c r="M75" i="58"/>
  <c r="L75" i="58"/>
  <c r="K75" i="58"/>
  <c r="R74" i="58"/>
  <c r="Q74" i="58"/>
  <c r="P74" i="58"/>
  <c r="O74" i="58"/>
  <c r="N74" i="58"/>
  <c r="M74" i="58"/>
  <c r="L74" i="58"/>
  <c r="K74" i="58"/>
  <c r="R73" i="58"/>
  <c r="Q73" i="58"/>
  <c r="P73" i="58"/>
  <c r="O73" i="58"/>
  <c r="N73" i="58"/>
  <c r="M73" i="58"/>
  <c r="L73" i="58"/>
  <c r="K73" i="58"/>
  <c r="R72" i="58"/>
  <c r="Q72" i="58"/>
  <c r="P72" i="58"/>
  <c r="O72" i="58"/>
  <c r="N72" i="58"/>
  <c r="M72" i="58"/>
  <c r="L72" i="58"/>
  <c r="K72" i="58"/>
  <c r="R71" i="58"/>
  <c r="Q71" i="58"/>
  <c r="P71" i="58"/>
  <c r="O71" i="58"/>
  <c r="N71" i="58"/>
  <c r="M71" i="58"/>
  <c r="L71" i="58"/>
  <c r="K71" i="58"/>
  <c r="R70" i="58"/>
  <c r="Q70" i="58"/>
  <c r="P70" i="58"/>
  <c r="O70" i="58"/>
  <c r="N70" i="58"/>
  <c r="M70" i="58"/>
  <c r="L70" i="58"/>
  <c r="K70" i="58"/>
  <c r="R69" i="58"/>
  <c r="Q69" i="58"/>
  <c r="P69" i="58"/>
  <c r="O69" i="58"/>
  <c r="N69" i="58"/>
  <c r="M69" i="58"/>
  <c r="L69" i="58"/>
  <c r="K69" i="58"/>
  <c r="R68" i="58"/>
  <c r="Q68" i="58"/>
  <c r="P68" i="58"/>
  <c r="O68" i="58"/>
  <c r="N68" i="58"/>
  <c r="M68" i="58"/>
  <c r="L68" i="58"/>
  <c r="K68" i="58"/>
  <c r="R67" i="58"/>
  <c r="Q67" i="58"/>
  <c r="P67" i="58"/>
  <c r="O67" i="58"/>
  <c r="N67" i="58"/>
  <c r="M67" i="58"/>
  <c r="L67" i="58"/>
  <c r="K67" i="58"/>
  <c r="R66" i="58"/>
  <c r="Q66" i="58"/>
  <c r="P66" i="58"/>
  <c r="O66" i="58"/>
  <c r="N66" i="58"/>
  <c r="M66" i="58"/>
  <c r="L66" i="58"/>
  <c r="K66" i="58"/>
  <c r="R65" i="58"/>
  <c r="Q65" i="58"/>
  <c r="P65" i="58"/>
  <c r="O65" i="58"/>
  <c r="N65" i="58"/>
  <c r="M65" i="58"/>
  <c r="L65" i="58"/>
  <c r="K65" i="58"/>
  <c r="R64" i="58"/>
  <c r="Q64" i="58"/>
  <c r="P64" i="58"/>
  <c r="O64" i="58"/>
  <c r="N64" i="58"/>
  <c r="M64" i="58"/>
  <c r="L64" i="58"/>
  <c r="K64" i="58"/>
  <c r="R63" i="58"/>
  <c r="Q63" i="58"/>
  <c r="P63" i="58"/>
  <c r="O63" i="58"/>
  <c r="N63" i="58"/>
  <c r="M63" i="58"/>
  <c r="L63" i="58"/>
  <c r="K63" i="58"/>
  <c r="R62" i="58"/>
  <c r="Q62" i="58"/>
  <c r="P62" i="58"/>
  <c r="O62" i="58"/>
  <c r="N62" i="58"/>
  <c r="M62" i="58"/>
  <c r="L62" i="58"/>
  <c r="K62" i="58"/>
  <c r="R61" i="58"/>
  <c r="Q61" i="58"/>
  <c r="P61" i="58"/>
  <c r="O61" i="58"/>
  <c r="N61" i="58"/>
  <c r="M61" i="58"/>
  <c r="L61" i="58"/>
  <c r="K61" i="58"/>
  <c r="R60" i="58"/>
  <c r="Q60" i="58"/>
  <c r="P60" i="58"/>
  <c r="O60" i="58"/>
  <c r="N60" i="58"/>
  <c r="M60" i="58"/>
  <c r="L60" i="58"/>
  <c r="K60" i="58"/>
  <c r="R59" i="58"/>
  <c r="Q59" i="58"/>
  <c r="P59" i="58"/>
  <c r="O59" i="58"/>
  <c r="N59" i="58"/>
  <c r="M59" i="58"/>
  <c r="L59" i="58"/>
  <c r="K59" i="58"/>
  <c r="R58" i="58"/>
  <c r="Q58" i="58"/>
  <c r="P58" i="58"/>
  <c r="O58" i="58"/>
  <c r="N58" i="58"/>
  <c r="M58" i="58"/>
  <c r="L58" i="58"/>
  <c r="K58" i="58"/>
  <c r="R57" i="58"/>
  <c r="Q57" i="58"/>
  <c r="P57" i="58"/>
  <c r="O57" i="58"/>
  <c r="N57" i="58"/>
  <c r="M57" i="58"/>
  <c r="L57" i="58"/>
  <c r="K57" i="58"/>
  <c r="R56" i="58"/>
  <c r="Q56" i="58"/>
  <c r="P56" i="58"/>
  <c r="O56" i="58"/>
  <c r="N56" i="58"/>
  <c r="K56" i="58"/>
  <c r="R55" i="58"/>
  <c r="J55" i="58" s="1"/>
  <c r="J56" i="58" s="1"/>
  <c r="J57" i="58" s="1"/>
  <c r="J58" i="58" s="1"/>
  <c r="J59" i="58" s="1"/>
  <c r="J60" i="58" s="1"/>
  <c r="J61" i="58" s="1"/>
  <c r="J62" i="58" s="1"/>
  <c r="J63" i="58" s="1"/>
  <c r="J64" i="58" s="1"/>
  <c r="J65" i="58" s="1"/>
  <c r="J66" i="58" s="1"/>
  <c r="J67" i="58" s="1"/>
  <c r="J68" i="58" s="1"/>
  <c r="J69" i="58" s="1"/>
  <c r="J70" i="58" s="1"/>
  <c r="J71" i="58" s="1"/>
  <c r="J72" i="58" s="1"/>
  <c r="J73" i="58" s="1"/>
  <c r="J74" i="58" s="1"/>
  <c r="J75" i="58" s="1"/>
  <c r="J76" i="58" s="1"/>
  <c r="J77" i="58" s="1"/>
  <c r="J78" i="58" s="1"/>
  <c r="J79" i="58" s="1"/>
  <c r="J80" i="58" s="1"/>
  <c r="J81" i="58" s="1"/>
  <c r="J82" i="58" s="1"/>
  <c r="J83" i="58" s="1"/>
  <c r="J84" i="58" s="1"/>
  <c r="J85" i="58" s="1"/>
  <c r="J86" i="58" s="1"/>
  <c r="J87" i="58" s="1"/>
  <c r="J88" i="58" s="1"/>
  <c r="J89" i="58" s="1"/>
  <c r="J90" i="58" s="1"/>
  <c r="J91" i="58" s="1"/>
  <c r="J92" i="58" s="1"/>
  <c r="J93" i="58" s="1"/>
  <c r="J94" i="58" s="1"/>
  <c r="J95" i="58" s="1"/>
  <c r="J96" i="58" s="1"/>
  <c r="J97" i="58" s="1"/>
  <c r="J98" i="58" s="1"/>
  <c r="J99" i="58" s="1"/>
  <c r="J100" i="58" s="1"/>
  <c r="J101" i="58" s="1"/>
  <c r="J102" i="58" s="1"/>
  <c r="J103" i="58" s="1"/>
  <c r="J104" i="58" s="1"/>
  <c r="Q55" i="58"/>
  <c r="P55" i="58"/>
  <c r="O55" i="58"/>
  <c r="K55" i="58"/>
  <c r="I55" i="58"/>
  <c r="I56" i="58" s="1"/>
  <c r="I57" i="58" s="1"/>
  <c r="I58" i="58" s="1"/>
  <c r="I59" i="58" s="1"/>
  <c r="I60" i="58" s="1"/>
  <c r="I61" i="58" s="1"/>
  <c r="I62" i="58" s="1"/>
  <c r="I63" i="58" s="1"/>
  <c r="I64" i="58" s="1"/>
  <c r="I65" i="58" s="1"/>
  <c r="I66" i="58" s="1"/>
  <c r="I67" i="58" s="1"/>
  <c r="I68" i="58" s="1"/>
  <c r="I69" i="58" s="1"/>
  <c r="I70" i="58" s="1"/>
  <c r="I71" i="58" s="1"/>
  <c r="I72" i="58" s="1"/>
  <c r="I73" i="58" s="1"/>
  <c r="I74" i="58" s="1"/>
  <c r="I75" i="58" s="1"/>
  <c r="I76" i="58" s="1"/>
  <c r="I77" i="58" s="1"/>
  <c r="I78" i="58" s="1"/>
  <c r="I79" i="58" s="1"/>
  <c r="I80" i="58" s="1"/>
  <c r="I81" i="58" s="1"/>
  <c r="I82" i="58" s="1"/>
  <c r="I83" i="58" s="1"/>
  <c r="I84" i="58" s="1"/>
  <c r="I85" i="58" s="1"/>
  <c r="I86" i="58" s="1"/>
  <c r="I87" i="58" s="1"/>
  <c r="I88" i="58" s="1"/>
  <c r="I89" i="58" s="1"/>
  <c r="I90" i="58" s="1"/>
  <c r="I91" i="58" s="1"/>
  <c r="I92" i="58" s="1"/>
  <c r="I93" i="58" s="1"/>
  <c r="I94" i="58" s="1"/>
  <c r="I95" i="58" s="1"/>
  <c r="I96" i="58" s="1"/>
  <c r="I97" i="58" s="1"/>
  <c r="I98" i="58" s="1"/>
  <c r="I99" i="58" s="1"/>
  <c r="I100" i="58" s="1"/>
  <c r="I101" i="58" s="1"/>
  <c r="I102" i="58" s="1"/>
  <c r="I103" i="58" s="1"/>
  <c r="I104" i="58" s="1"/>
  <c r="H55" i="58"/>
  <c r="H56" i="58" s="1"/>
  <c r="H57" i="58" s="1"/>
  <c r="H58" i="58" s="1"/>
  <c r="H59" i="58" s="1"/>
  <c r="H60" i="58" s="1"/>
  <c r="H61" i="58" s="1"/>
  <c r="H62" i="58" s="1"/>
  <c r="H63" i="58" s="1"/>
  <c r="H64" i="58" s="1"/>
  <c r="H65" i="58" s="1"/>
  <c r="H66" i="58" s="1"/>
  <c r="H67" i="58" s="1"/>
  <c r="H68" i="58" s="1"/>
  <c r="H69" i="58" s="1"/>
  <c r="H70" i="58" s="1"/>
  <c r="H71" i="58" s="1"/>
  <c r="H72" i="58" s="1"/>
  <c r="H73" i="58" s="1"/>
  <c r="H74" i="58" s="1"/>
  <c r="H75" i="58" s="1"/>
  <c r="H76" i="58" s="1"/>
  <c r="H77" i="58" s="1"/>
  <c r="H78" i="58" s="1"/>
  <c r="H79" i="58" s="1"/>
  <c r="H80" i="58" s="1"/>
  <c r="H81" i="58" s="1"/>
  <c r="H82" i="58" s="1"/>
  <c r="H83" i="58" s="1"/>
  <c r="H84" i="58" s="1"/>
  <c r="H85" i="58" s="1"/>
  <c r="H86" i="58" s="1"/>
  <c r="H87" i="58" s="1"/>
  <c r="H88" i="58" s="1"/>
  <c r="H89" i="58" s="1"/>
  <c r="H90" i="58" s="1"/>
  <c r="H91" i="58" s="1"/>
  <c r="H92" i="58" s="1"/>
  <c r="H93" i="58" s="1"/>
  <c r="H94" i="58" s="1"/>
  <c r="H95" i="58" s="1"/>
  <c r="H96" i="58" s="1"/>
  <c r="H97" i="58" s="1"/>
  <c r="H98" i="58" s="1"/>
  <c r="H99" i="58" s="1"/>
  <c r="H100" i="58" s="1"/>
  <c r="H101" i="58" s="1"/>
  <c r="H102" i="58" s="1"/>
  <c r="H103" i="58" s="1"/>
  <c r="H104" i="58" s="1"/>
  <c r="G55" i="58"/>
  <c r="G56" i="58" s="1"/>
  <c r="G57" i="58" s="1"/>
  <c r="G58" i="58" s="1"/>
  <c r="G59" i="58" s="1"/>
  <c r="G60" i="58" s="1"/>
  <c r="G61" i="58" s="1"/>
  <c r="G62" i="58" s="1"/>
  <c r="G63" i="58" s="1"/>
  <c r="G64" i="58" s="1"/>
  <c r="G65" i="58" s="1"/>
  <c r="G66" i="58" s="1"/>
  <c r="G67" i="58" s="1"/>
  <c r="G68" i="58" s="1"/>
  <c r="G69" i="58" s="1"/>
  <c r="G70" i="58" s="1"/>
  <c r="G71" i="58" s="1"/>
  <c r="G72" i="58" s="1"/>
  <c r="G73" i="58" s="1"/>
  <c r="G74" i="58" s="1"/>
  <c r="G75" i="58" s="1"/>
  <c r="G76" i="58" s="1"/>
  <c r="G77" i="58" s="1"/>
  <c r="G78" i="58" s="1"/>
  <c r="G79" i="58" s="1"/>
  <c r="G80" i="58" s="1"/>
  <c r="G81" i="58" s="1"/>
  <c r="G82" i="58" s="1"/>
  <c r="G83" i="58" s="1"/>
  <c r="G84" i="58" s="1"/>
  <c r="G85" i="58" s="1"/>
  <c r="G86" i="58" s="1"/>
  <c r="G87" i="58" s="1"/>
  <c r="G88" i="58" s="1"/>
  <c r="G89" i="58" s="1"/>
  <c r="G90" i="58" s="1"/>
  <c r="G91" i="58" s="1"/>
  <c r="G92" i="58" s="1"/>
  <c r="G93" i="58" s="1"/>
  <c r="G94" i="58" s="1"/>
  <c r="G95" i="58" s="1"/>
  <c r="G96" i="58" s="1"/>
  <c r="G97" i="58" s="1"/>
  <c r="G98" i="58" s="1"/>
  <c r="G99" i="58" s="1"/>
  <c r="G100" i="58" s="1"/>
  <c r="G101" i="58" s="1"/>
  <c r="G102" i="58" s="1"/>
  <c r="G103" i="58" s="1"/>
  <c r="G104" i="58" s="1"/>
  <c r="F55" i="58"/>
  <c r="E55" i="58"/>
  <c r="M56" i="58" s="1"/>
  <c r="D55" i="58"/>
  <c r="L56" i="58" s="1"/>
  <c r="R54" i="58"/>
  <c r="Q54" i="58"/>
  <c r="P54" i="58"/>
  <c r="O54" i="58"/>
  <c r="M54" i="58"/>
  <c r="K54" i="58"/>
  <c r="E54" i="58"/>
  <c r="F54" i="58" s="1"/>
  <c r="N55" i="58" s="1"/>
  <c r="D54" i="58"/>
  <c r="L54" i="58" s="1"/>
  <c r="R53" i="58"/>
  <c r="Q53" i="58"/>
  <c r="P53" i="58"/>
  <c r="O53" i="58"/>
  <c r="L53" i="58"/>
  <c r="K53" i="58"/>
  <c r="D53" i="58"/>
  <c r="E53" i="58" s="1"/>
  <c r="R52" i="58"/>
  <c r="Q52" i="58"/>
  <c r="P52" i="58"/>
  <c r="O52" i="58"/>
  <c r="K52" i="58"/>
  <c r="F52" i="58"/>
  <c r="N52" i="58" s="1"/>
  <c r="E52" i="58"/>
  <c r="M52" i="58" s="1"/>
  <c r="D52" i="58"/>
  <c r="L52" i="58" s="1"/>
  <c r="R51" i="58"/>
  <c r="Q51" i="58"/>
  <c r="P51" i="58"/>
  <c r="O51" i="58"/>
  <c r="N51" i="58"/>
  <c r="K51" i="58"/>
  <c r="F51" i="58"/>
  <c r="E51" i="58"/>
  <c r="D51" i="58"/>
  <c r="L51" i="58" s="1"/>
  <c r="R50" i="58"/>
  <c r="Q50" i="58"/>
  <c r="P50" i="58"/>
  <c r="O50" i="58"/>
  <c r="M50" i="58"/>
  <c r="K50" i="58"/>
  <c r="E50" i="58"/>
  <c r="F50" i="58" s="1"/>
  <c r="D50" i="58"/>
  <c r="L50" i="58" s="1"/>
  <c r="R49" i="58"/>
  <c r="Q49" i="58"/>
  <c r="P49" i="58"/>
  <c r="O49" i="58"/>
  <c r="L49" i="58"/>
  <c r="K49" i="58"/>
  <c r="D49" i="58"/>
  <c r="E49" i="58" s="1"/>
  <c r="R48" i="58"/>
  <c r="Q48" i="58"/>
  <c r="P48" i="58"/>
  <c r="O48" i="58"/>
  <c r="K48" i="58"/>
  <c r="D48" i="58"/>
  <c r="E48" i="58" s="1"/>
  <c r="R47" i="58"/>
  <c r="Q47" i="58"/>
  <c r="P47" i="58"/>
  <c r="O47" i="58"/>
  <c r="K47" i="58"/>
  <c r="F47" i="58"/>
  <c r="N47" i="58" s="1"/>
  <c r="E47" i="58"/>
  <c r="D47" i="58"/>
  <c r="L47" i="58" s="1"/>
  <c r="R46" i="58"/>
  <c r="Q46" i="58"/>
  <c r="P46" i="58"/>
  <c r="O46" i="58"/>
  <c r="K46" i="58"/>
  <c r="E46" i="58"/>
  <c r="F46" i="58" s="1"/>
  <c r="D46" i="58"/>
  <c r="R45" i="58"/>
  <c r="Q45" i="58"/>
  <c r="P45" i="58"/>
  <c r="O45" i="58"/>
  <c r="K45" i="58"/>
  <c r="D45" i="58"/>
  <c r="E45" i="58" s="1"/>
  <c r="R44" i="58"/>
  <c r="Q44" i="58"/>
  <c r="P44" i="58"/>
  <c r="O44" i="58"/>
  <c r="K44" i="58"/>
  <c r="D44" i="58"/>
  <c r="E44" i="58" s="1"/>
  <c r="R43" i="58"/>
  <c r="Q43" i="58"/>
  <c r="P43" i="58"/>
  <c r="O43" i="58"/>
  <c r="N43" i="58"/>
  <c r="K43" i="58"/>
  <c r="F43" i="58"/>
  <c r="E43" i="58"/>
  <c r="D43" i="58"/>
  <c r="L43" i="58" s="1"/>
  <c r="R42" i="58"/>
  <c r="Q42" i="58"/>
  <c r="P42" i="58"/>
  <c r="O42" i="58"/>
  <c r="M42" i="58"/>
  <c r="K42" i="58"/>
  <c r="E42" i="58"/>
  <c r="F42" i="58" s="1"/>
  <c r="D42" i="58"/>
  <c r="L42" i="58" s="1"/>
  <c r="R41" i="58"/>
  <c r="Q41" i="58"/>
  <c r="P41" i="58"/>
  <c r="O41" i="58"/>
  <c r="L41" i="58"/>
  <c r="K41" i="58"/>
  <c r="D41" i="58"/>
  <c r="E41" i="58" s="1"/>
  <c r="R40" i="58"/>
  <c r="Q40" i="58"/>
  <c r="P40" i="58"/>
  <c r="O40" i="58"/>
  <c r="K40" i="58"/>
  <c r="F40" i="58"/>
  <c r="N40" i="58" s="1"/>
  <c r="E40" i="58"/>
  <c r="M40" i="58" s="1"/>
  <c r="D40" i="58"/>
  <c r="L40" i="58" s="1"/>
  <c r="R39" i="58"/>
  <c r="Q39" i="58"/>
  <c r="P39" i="58"/>
  <c r="O39" i="58"/>
  <c r="N39" i="58"/>
  <c r="K39" i="58"/>
  <c r="F39" i="58"/>
  <c r="E39" i="58"/>
  <c r="D39" i="58"/>
  <c r="L39" i="58" s="1"/>
  <c r="R38" i="58"/>
  <c r="Q38" i="58"/>
  <c r="P38" i="58"/>
  <c r="O38" i="58"/>
  <c r="M38" i="58"/>
  <c r="K38" i="58"/>
  <c r="E38" i="58"/>
  <c r="F38" i="58" s="1"/>
  <c r="D38" i="58"/>
  <c r="L38" i="58" s="1"/>
  <c r="R37" i="58"/>
  <c r="Q37" i="58"/>
  <c r="P37" i="58"/>
  <c r="O37" i="58"/>
  <c r="L37" i="58"/>
  <c r="K37" i="58"/>
  <c r="D37" i="58"/>
  <c r="E37" i="58" s="1"/>
  <c r="R36" i="58"/>
  <c r="Q36" i="58"/>
  <c r="P36" i="58"/>
  <c r="O36" i="58"/>
  <c r="K36" i="58"/>
  <c r="E36" i="58"/>
  <c r="F36" i="58" s="1"/>
  <c r="D36" i="58"/>
  <c r="L36" i="58" s="1"/>
  <c r="R35" i="58"/>
  <c r="Q35" i="58"/>
  <c r="P35" i="58"/>
  <c r="O35" i="58"/>
  <c r="K35" i="58"/>
  <c r="F35" i="58"/>
  <c r="N35" i="58" s="1"/>
  <c r="D35" i="58"/>
  <c r="E35" i="58" s="1"/>
  <c r="R34" i="58"/>
  <c r="Q34" i="58"/>
  <c r="P34" i="58"/>
  <c r="O34" i="58"/>
  <c r="K34" i="58"/>
  <c r="E34" i="58"/>
  <c r="F34" i="58" s="1"/>
  <c r="D34" i="58"/>
  <c r="R33" i="58"/>
  <c r="Q33" i="58"/>
  <c r="P33" i="58"/>
  <c r="O33" i="58"/>
  <c r="K33" i="58"/>
  <c r="D33" i="58"/>
  <c r="E33" i="58" s="1"/>
  <c r="R32" i="58"/>
  <c r="Q32" i="58"/>
  <c r="P32" i="58"/>
  <c r="O32" i="58"/>
  <c r="K32" i="58"/>
  <c r="F32" i="58"/>
  <c r="E32" i="58"/>
  <c r="M32" i="58" s="1"/>
  <c r="D32" i="58"/>
  <c r="L32" i="58" s="1"/>
  <c r="R31" i="58"/>
  <c r="Q31" i="58"/>
  <c r="P31" i="58"/>
  <c r="O31" i="58"/>
  <c r="K31" i="58"/>
  <c r="F31" i="58"/>
  <c r="N31" i="58" s="1"/>
  <c r="E31" i="58"/>
  <c r="D31" i="58"/>
  <c r="L31" i="58" s="1"/>
  <c r="R30" i="58"/>
  <c r="Q30" i="58"/>
  <c r="P30" i="58"/>
  <c r="O30" i="58"/>
  <c r="K30" i="58"/>
  <c r="E30" i="58"/>
  <c r="F30" i="58" s="1"/>
  <c r="D30" i="58"/>
  <c r="R29" i="58"/>
  <c r="Q29" i="58"/>
  <c r="P29" i="58"/>
  <c r="O29" i="58"/>
  <c r="K29" i="58"/>
  <c r="D29" i="58"/>
  <c r="E29" i="58" s="1"/>
  <c r="R28" i="58"/>
  <c r="Q28" i="58"/>
  <c r="P28" i="58"/>
  <c r="O28" i="58"/>
  <c r="K28" i="58"/>
  <c r="D28" i="58"/>
  <c r="E28" i="58" s="1"/>
  <c r="R27" i="58"/>
  <c r="Q27" i="58"/>
  <c r="P27" i="58"/>
  <c r="O27" i="58"/>
  <c r="K27" i="58"/>
  <c r="D27" i="58"/>
  <c r="E27" i="58" s="1"/>
  <c r="R26" i="58"/>
  <c r="Q26" i="58"/>
  <c r="P26" i="58"/>
  <c r="O26" i="58"/>
  <c r="K26" i="58"/>
  <c r="E26" i="58"/>
  <c r="F26" i="58" s="1"/>
  <c r="D26" i="58"/>
  <c r="L26" i="58" s="1"/>
  <c r="R25" i="58"/>
  <c r="Q25" i="58"/>
  <c r="P25" i="58"/>
  <c r="O25" i="58"/>
  <c r="K25" i="58"/>
  <c r="D25" i="58"/>
  <c r="E25" i="58" s="1"/>
  <c r="R24" i="58"/>
  <c r="Q24" i="58"/>
  <c r="P24" i="58"/>
  <c r="O24" i="58"/>
  <c r="K24" i="58"/>
  <c r="D24" i="58"/>
  <c r="E24" i="58" s="1"/>
  <c r="R23" i="58"/>
  <c r="Q23" i="58"/>
  <c r="P23" i="58"/>
  <c r="O23" i="58"/>
  <c r="K23" i="58"/>
  <c r="D23" i="58"/>
  <c r="E23" i="58" s="1"/>
  <c r="R22" i="58"/>
  <c r="Q22" i="58"/>
  <c r="P22" i="58"/>
  <c r="O22" i="58"/>
  <c r="K22" i="58"/>
  <c r="E22" i="58"/>
  <c r="F22" i="58" s="1"/>
  <c r="D22" i="58"/>
  <c r="L22" i="58" s="1"/>
  <c r="R21" i="58"/>
  <c r="Q21" i="58"/>
  <c r="P21" i="58"/>
  <c r="O21" i="58"/>
  <c r="K21" i="58"/>
  <c r="D21" i="58"/>
  <c r="E21" i="58" s="1"/>
  <c r="R20" i="58"/>
  <c r="Q20" i="58"/>
  <c r="P20" i="58"/>
  <c r="O20" i="58"/>
  <c r="K20" i="58"/>
  <c r="D20" i="58"/>
  <c r="E20" i="58" s="1"/>
  <c r="R19" i="58"/>
  <c r="Q19" i="58"/>
  <c r="P19" i="58"/>
  <c r="O19" i="58"/>
  <c r="K19" i="58"/>
  <c r="D19" i="58"/>
  <c r="E19" i="58" s="1"/>
  <c r="R18" i="58"/>
  <c r="Q18" i="58"/>
  <c r="P18" i="58"/>
  <c r="O18" i="58"/>
  <c r="K18" i="58"/>
  <c r="E18" i="58"/>
  <c r="F18" i="58" s="1"/>
  <c r="D18" i="58"/>
  <c r="L18" i="58" s="1"/>
  <c r="R17" i="58"/>
  <c r="Q17" i="58"/>
  <c r="P17" i="58"/>
  <c r="O17" i="58"/>
  <c r="K17" i="58"/>
  <c r="D17" i="58"/>
  <c r="E17" i="58" s="1"/>
  <c r="R16" i="58"/>
  <c r="Q16" i="58"/>
  <c r="P16" i="58"/>
  <c r="O16" i="58"/>
  <c r="K16" i="58"/>
  <c r="D16" i="58"/>
  <c r="E16" i="58" s="1"/>
  <c r="R15" i="58"/>
  <c r="Q15" i="58"/>
  <c r="P15" i="58"/>
  <c r="O15" i="58"/>
  <c r="K15" i="58"/>
  <c r="D15" i="58"/>
  <c r="E15" i="58" s="1"/>
  <c r="R14" i="58"/>
  <c r="Q14" i="58"/>
  <c r="P14" i="58"/>
  <c r="O14" i="58"/>
  <c r="K14" i="58"/>
  <c r="E14" i="58"/>
  <c r="F14" i="58" s="1"/>
  <c r="D14" i="58"/>
  <c r="L14" i="58" s="1"/>
  <c r="R13" i="58"/>
  <c r="Q13" i="58"/>
  <c r="P13" i="58"/>
  <c r="O13" i="58"/>
  <c r="K13" i="58"/>
  <c r="D13" i="58"/>
  <c r="E13" i="58" s="1"/>
  <c r="R12" i="58"/>
  <c r="Q12" i="58"/>
  <c r="P12" i="58"/>
  <c r="O12" i="58"/>
  <c r="K12" i="58"/>
  <c r="D12" i="58"/>
  <c r="E12" i="58" s="1"/>
  <c r="R11" i="58"/>
  <c r="Q11" i="58"/>
  <c r="P11" i="58"/>
  <c r="O11" i="58"/>
  <c r="K11" i="58"/>
  <c r="D11" i="58"/>
  <c r="E11" i="58" s="1"/>
  <c r="R10" i="58"/>
  <c r="Q10" i="58"/>
  <c r="P10" i="58"/>
  <c r="O10" i="58"/>
  <c r="K10" i="58"/>
  <c r="E10" i="58"/>
  <c r="F10" i="58" s="1"/>
  <c r="D10" i="58"/>
  <c r="L10" i="58" s="1"/>
  <c r="R9" i="58"/>
  <c r="Q9" i="58"/>
  <c r="P9" i="58"/>
  <c r="O9" i="58"/>
  <c r="K9" i="58"/>
  <c r="D9" i="58"/>
  <c r="E9" i="58" s="1"/>
  <c r="R8" i="58"/>
  <c r="Q8" i="58"/>
  <c r="P8" i="58"/>
  <c r="O8" i="58"/>
  <c r="K8" i="58"/>
  <c r="D8" i="58"/>
  <c r="E8" i="58" s="1"/>
  <c r="R7" i="58"/>
  <c r="Q7" i="58"/>
  <c r="P7" i="58"/>
  <c r="O7" i="58"/>
  <c r="K7" i="58"/>
  <c r="D7" i="58"/>
  <c r="E7" i="58" s="1"/>
  <c r="E6" i="58"/>
  <c r="F6" i="58" s="1"/>
  <c r="D6" i="58"/>
  <c r="N127" i="57"/>
  <c r="M127" i="57"/>
  <c r="L127" i="57"/>
  <c r="K127" i="57"/>
  <c r="N126" i="57"/>
  <c r="M126" i="57"/>
  <c r="L126" i="57"/>
  <c r="K126" i="57"/>
  <c r="N125" i="57"/>
  <c r="M125" i="57"/>
  <c r="L125" i="57"/>
  <c r="K125" i="57"/>
  <c r="N124" i="57"/>
  <c r="M124" i="57"/>
  <c r="L124" i="57"/>
  <c r="K124" i="57"/>
  <c r="N123" i="57"/>
  <c r="M123" i="57"/>
  <c r="L123" i="57"/>
  <c r="K123" i="57"/>
  <c r="N122" i="57"/>
  <c r="M122" i="57"/>
  <c r="L122" i="57"/>
  <c r="K122" i="57"/>
  <c r="N121" i="57"/>
  <c r="M121" i="57"/>
  <c r="L121" i="57"/>
  <c r="K121" i="57"/>
  <c r="N120" i="57"/>
  <c r="M120" i="57"/>
  <c r="L120" i="57"/>
  <c r="K120" i="57"/>
  <c r="N119" i="57"/>
  <c r="M119" i="57"/>
  <c r="L119" i="57"/>
  <c r="K119" i="57"/>
  <c r="N118" i="57"/>
  <c r="M118" i="57"/>
  <c r="L118" i="57"/>
  <c r="K118" i="57"/>
  <c r="N117" i="57"/>
  <c r="M117" i="57"/>
  <c r="L117" i="57"/>
  <c r="K117" i="57"/>
  <c r="N116" i="57"/>
  <c r="M116" i="57"/>
  <c r="L116" i="57"/>
  <c r="K116" i="57"/>
  <c r="N115" i="57"/>
  <c r="M115" i="57"/>
  <c r="L115" i="57"/>
  <c r="K115" i="57"/>
  <c r="N114" i="57"/>
  <c r="M114" i="57"/>
  <c r="L114" i="57"/>
  <c r="K114" i="57"/>
  <c r="N113" i="57"/>
  <c r="M113" i="57"/>
  <c r="L113" i="57"/>
  <c r="K113" i="57"/>
  <c r="N112" i="57"/>
  <c r="M112" i="57"/>
  <c r="L112" i="57"/>
  <c r="K112" i="57"/>
  <c r="N111" i="57"/>
  <c r="M111" i="57"/>
  <c r="L111" i="57"/>
  <c r="K111" i="57"/>
  <c r="N110" i="57"/>
  <c r="M110" i="57"/>
  <c r="L110" i="57"/>
  <c r="K110" i="57"/>
  <c r="N109" i="57"/>
  <c r="M109" i="57"/>
  <c r="L109" i="57"/>
  <c r="K109" i="57"/>
  <c r="N108" i="57"/>
  <c r="M108" i="57"/>
  <c r="L108" i="57"/>
  <c r="K108" i="57"/>
  <c r="N107" i="57"/>
  <c r="M107" i="57"/>
  <c r="L107" i="57"/>
  <c r="K107" i="57"/>
  <c r="N106" i="57"/>
  <c r="M106" i="57"/>
  <c r="L106" i="57"/>
  <c r="K106" i="57"/>
  <c r="N105" i="57"/>
  <c r="M105" i="57"/>
  <c r="L105" i="57"/>
  <c r="K105" i="57"/>
  <c r="N104" i="57"/>
  <c r="M104" i="57"/>
  <c r="L104" i="57"/>
  <c r="K104" i="57"/>
  <c r="N103" i="57"/>
  <c r="M103" i="57"/>
  <c r="L103" i="57"/>
  <c r="K103" i="57"/>
  <c r="N102" i="57"/>
  <c r="M102" i="57"/>
  <c r="L102" i="57"/>
  <c r="K102" i="57"/>
  <c r="N101" i="57"/>
  <c r="M101" i="57"/>
  <c r="L101" i="57"/>
  <c r="K101" i="57"/>
  <c r="N100" i="57"/>
  <c r="M100" i="57"/>
  <c r="L100" i="57"/>
  <c r="K100" i="57"/>
  <c r="N99" i="57"/>
  <c r="M99" i="57"/>
  <c r="L99" i="57"/>
  <c r="K99" i="57"/>
  <c r="N98" i="57"/>
  <c r="M98" i="57"/>
  <c r="L98" i="57"/>
  <c r="K98" i="57"/>
  <c r="N97" i="57"/>
  <c r="M97" i="57"/>
  <c r="L97" i="57"/>
  <c r="K97" i="57"/>
  <c r="N96" i="57"/>
  <c r="M96" i="57"/>
  <c r="L96" i="57"/>
  <c r="K96" i="57"/>
  <c r="N95" i="57"/>
  <c r="M95" i="57"/>
  <c r="L95" i="57"/>
  <c r="K95" i="57"/>
  <c r="N94" i="57"/>
  <c r="M94" i="57"/>
  <c r="L94" i="57"/>
  <c r="K94" i="57"/>
  <c r="N93" i="57"/>
  <c r="M93" i="57"/>
  <c r="L93" i="57"/>
  <c r="K93" i="57"/>
  <c r="N92" i="57"/>
  <c r="M92" i="57"/>
  <c r="L92" i="57"/>
  <c r="K92" i="57"/>
  <c r="N91" i="57"/>
  <c r="M91" i="57"/>
  <c r="L91" i="57"/>
  <c r="K91" i="57"/>
  <c r="N90" i="57"/>
  <c r="M90" i="57"/>
  <c r="L90" i="57"/>
  <c r="K90" i="57"/>
  <c r="N89" i="57"/>
  <c r="M89" i="57"/>
  <c r="L89" i="57"/>
  <c r="K89" i="57"/>
  <c r="N88" i="57"/>
  <c r="M88" i="57"/>
  <c r="L88" i="57"/>
  <c r="K88" i="57"/>
  <c r="N87" i="57"/>
  <c r="M87" i="57"/>
  <c r="L87" i="57"/>
  <c r="K87" i="57"/>
  <c r="N86" i="57"/>
  <c r="M86" i="57"/>
  <c r="L86" i="57"/>
  <c r="K86" i="57"/>
  <c r="N85" i="57"/>
  <c r="M85" i="57"/>
  <c r="L85" i="57"/>
  <c r="K85" i="57"/>
  <c r="N84" i="57"/>
  <c r="M84" i="57"/>
  <c r="L84" i="57"/>
  <c r="K84" i="57"/>
  <c r="N83" i="57"/>
  <c r="M83" i="57"/>
  <c r="L83" i="57"/>
  <c r="K83" i="57"/>
  <c r="N82" i="57"/>
  <c r="M82" i="57"/>
  <c r="L82" i="57"/>
  <c r="K82" i="57"/>
  <c r="N81" i="57"/>
  <c r="M81" i="57"/>
  <c r="L81" i="57"/>
  <c r="K81" i="57"/>
  <c r="N80" i="57"/>
  <c r="M80" i="57"/>
  <c r="L80" i="57"/>
  <c r="K80" i="57"/>
  <c r="N79" i="57"/>
  <c r="M79" i="57"/>
  <c r="L79" i="57"/>
  <c r="K79" i="57"/>
  <c r="K78" i="57"/>
  <c r="J78" i="57"/>
  <c r="J79" i="57" s="1"/>
  <c r="J80" i="57" s="1"/>
  <c r="J81" i="57" s="1"/>
  <c r="J82" i="57" s="1"/>
  <c r="J83" i="57" s="1"/>
  <c r="J84" i="57" s="1"/>
  <c r="J85" i="57" s="1"/>
  <c r="J86" i="57" s="1"/>
  <c r="J87" i="57" s="1"/>
  <c r="J88" i="57" s="1"/>
  <c r="J89" i="57" s="1"/>
  <c r="J90" i="57" s="1"/>
  <c r="J91" i="57" s="1"/>
  <c r="J92" i="57" s="1"/>
  <c r="J93" i="57" s="1"/>
  <c r="J94" i="57" s="1"/>
  <c r="J95" i="57" s="1"/>
  <c r="J96" i="57" s="1"/>
  <c r="J97" i="57" s="1"/>
  <c r="J98" i="57" s="1"/>
  <c r="J99" i="57" s="1"/>
  <c r="J100" i="57" s="1"/>
  <c r="J101" i="57" s="1"/>
  <c r="J102" i="57" s="1"/>
  <c r="J103" i="57" s="1"/>
  <c r="J104" i="57" s="1"/>
  <c r="J105" i="57" s="1"/>
  <c r="J106" i="57" s="1"/>
  <c r="J107" i="57" s="1"/>
  <c r="J108" i="57" s="1"/>
  <c r="J109" i="57" s="1"/>
  <c r="J110" i="57" s="1"/>
  <c r="J111" i="57" s="1"/>
  <c r="J112" i="57" s="1"/>
  <c r="J113" i="57" s="1"/>
  <c r="J114" i="57" s="1"/>
  <c r="J115" i="57" s="1"/>
  <c r="J116" i="57" s="1"/>
  <c r="J117" i="57" s="1"/>
  <c r="J118" i="57" s="1"/>
  <c r="J119" i="57" s="1"/>
  <c r="J120" i="57" s="1"/>
  <c r="J121" i="57" s="1"/>
  <c r="J122" i="57" s="1"/>
  <c r="J123" i="57" s="1"/>
  <c r="J124" i="57" s="1"/>
  <c r="J125" i="57" s="1"/>
  <c r="J126" i="57" s="1"/>
  <c r="J127" i="57" s="1"/>
  <c r="I78" i="57"/>
  <c r="I79" i="57" s="1"/>
  <c r="I80" i="57" s="1"/>
  <c r="I81" i="57" s="1"/>
  <c r="I82" i="57" s="1"/>
  <c r="I83" i="57" s="1"/>
  <c r="I84" i="57" s="1"/>
  <c r="I85" i="57" s="1"/>
  <c r="I86" i="57" s="1"/>
  <c r="I87" i="57" s="1"/>
  <c r="I88" i="57" s="1"/>
  <c r="I89" i="57" s="1"/>
  <c r="I90" i="57" s="1"/>
  <c r="I91" i="57" s="1"/>
  <c r="I92" i="57" s="1"/>
  <c r="I93" i="57" s="1"/>
  <c r="I94" i="57" s="1"/>
  <c r="I95" i="57" s="1"/>
  <c r="I96" i="57" s="1"/>
  <c r="I97" i="57" s="1"/>
  <c r="I98" i="57" s="1"/>
  <c r="I99" i="57" s="1"/>
  <c r="I100" i="57" s="1"/>
  <c r="I101" i="57" s="1"/>
  <c r="I102" i="57" s="1"/>
  <c r="I103" i="57" s="1"/>
  <c r="I104" i="57" s="1"/>
  <c r="I105" i="57" s="1"/>
  <c r="I106" i="57" s="1"/>
  <c r="I107" i="57" s="1"/>
  <c r="I108" i="57" s="1"/>
  <c r="I109" i="57" s="1"/>
  <c r="I110" i="57" s="1"/>
  <c r="I111" i="57" s="1"/>
  <c r="I112" i="57" s="1"/>
  <c r="I113" i="57" s="1"/>
  <c r="I114" i="57" s="1"/>
  <c r="I115" i="57" s="1"/>
  <c r="I116" i="57" s="1"/>
  <c r="I117" i="57" s="1"/>
  <c r="I118" i="57" s="1"/>
  <c r="I119" i="57" s="1"/>
  <c r="I120" i="57" s="1"/>
  <c r="I121" i="57" s="1"/>
  <c r="I122" i="57" s="1"/>
  <c r="I123" i="57" s="1"/>
  <c r="I124" i="57" s="1"/>
  <c r="I125" i="57" s="1"/>
  <c r="I126" i="57" s="1"/>
  <c r="I127" i="57" s="1"/>
  <c r="H78" i="57"/>
  <c r="H79" i="57" s="1"/>
  <c r="H80" i="57" s="1"/>
  <c r="H81" i="57" s="1"/>
  <c r="H82" i="57" s="1"/>
  <c r="H83" i="57" s="1"/>
  <c r="H84" i="57" s="1"/>
  <c r="H85" i="57" s="1"/>
  <c r="H86" i="57" s="1"/>
  <c r="H87" i="57" s="1"/>
  <c r="H88" i="57" s="1"/>
  <c r="H89" i="57" s="1"/>
  <c r="H90" i="57" s="1"/>
  <c r="H91" i="57" s="1"/>
  <c r="H92" i="57" s="1"/>
  <c r="H93" i="57" s="1"/>
  <c r="H94" i="57" s="1"/>
  <c r="H95" i="57" s="1"/>
  <c r="H96" i="57" s="1"/>
  <c r="H97" i="57" s="1"/>
  <c r="H98" i="57" s="1"/>
  <c r="H99" i="57" s="1"/>
  <c r="H100" i="57" s="1"/>
  <c r="H101" i="57" s="1"/>
  <c r="H102" i="57" s="1"/>
  <c r="H103" i="57" s="1"/>
  <c r="H104" i="57" s="1"/>
  <c r="H105" i="57" s="1"/>
  <c r="H106" i="57" s="1"/>
  <c r="H107" i="57" s="1"/>
  <c r="H108" i="57" s="1"/>
  <c r="H109" i="57" s="1"/>
  <c r="H110" i="57" s="1"/>
  <c r="H111" i="57" s="1"/>
  <c r="H112" i="57" s="1"/>
  <c r="H113" i="57" s="1"/>
  <c r="H114" i="57" s="1"/>
  <c r="H115" i="57" s="1"/>
  <c r="H116" i="57" s="1"/>
  <c r="H117" i="57" s="1"/>
  <c r="H118" i="57" s="1"/>
  <c r="H119" i="57" s="1"/>
  <c r="H120" i="57" s="1"/>
  <c r="H121" i="57" s="1"/>
  <c r="H122" i="57" s="1"/>
  <c r="H123" i="57" s="1"/>
  <c r="H124" i="57" s="1"/>
  <c r="H125" i="57" s="1"/>
  <c r="H126" i="57" s="1"/>
  <c r="H127" i="57" s="1"/>
  <c r="G78" i="57"/>
  <c r="G79" i="57" s="1"/>
  <c r="G80" i="57" s="1"/>
  <c r="G81" i="57" s="1"/>
  <c r="G82" i="57" s="1"/>
  <c r="G83" i="57" s="1"/>
  <c r="G84" i="57" s="1"/>
  <c r="G85" i="57" s="1"/>
  <c r="G86" i="57" s="1"/>
  <c r="G87" i="57" s="1"/>
  <c r="G88" i="57" s="1"/>
  <c r="G89" i="57" s="1"/>
  <c r="G90" i="57" s="1"/>
  <c r="G91" i="57" s="1"/>
  <c r="G92" i="57" s="1"/>
  <c r="G93" i="57" s="1"/>
  <c r="G94" i="57" s="1"/>
  <c r="G95" i="57" s="1"/>
  <c r="G96" i="57" s="1"/>
  <c r="G97" i="57" s="1"/>
  <c r="G98" i="57" s="1"/>
  <c r="G99" i="57" s="1"/>
  <c r="G100" i="57" s="1"/>
  <c r="G101" i="57" s="1"/>
  <c r="G102" i="57" s="1"/>
  <c r="G103" i="57" s="1"/>
  <c r="G104" i="57" s="1"/>
  <c r="G105" i="57" s="1"/>
  <c r="G106" i="57" s="1"/>
  <c r="G107" i="57" s="1"/>
  <c r="G108" i="57" s="1"/>
  <c r="G109" i="57" s="1"/>
  <c r="G110" i="57" s="1"/>
  <c r="G111" i="57" s="1"/>
  <c r="G112" i="57" s="1"/>
  <c r="G113" i="57" s="1"/>
  <c r="G114" i="57" s="1"/>
  <c r="G115" i="57" s="1"/>
  <c r="G116" i="57" s="1"/>
  <c r="G117" i="57" s="1"/>
  <c r="G118" i="57" s="1"/>
  <c r="G119" i="57" s="1"/>
  <c r="G120" i="57" s="1"/>
  <c r="G121" i="57" s="1"/>
  <c r="G122" i="57" s="1"/>
  <c r="G123" i="57" s="1"/>
  <c r="G124" i="57" s="1"/>
  <c r="G125" i="57" s="1"/>
  <c r="G126" i="57" s="1"/>
  <c r="G127" i="57" s="1"/>
  <c r="R77" i="57"/>
  <c r="Q77" i="57"/>
  <c r="P77" i="57"/>
  <c r="O77" i="57"/>
  <c r="K77" i="57"/>
  <c r="D77" i="57"/>
  <c r="E77" i="57" s="1"/>
  <c r="R76" i="57"/>
  <c r="Q76" i="57"/>
  <c r="P76" i="57"/>
  <c r="O76" i="57"/>
  <c r="K76" i="57"/>
  <c r="F76" i="57"/>
  <c r="N76" i="57" s="1"/>
  <c r="E76" i="57"/>
  <c r="D76" i="57"/>
  <c r="L76" i="57" s="1"/>
  <c r="R75" i="57"/>
  <c r="Q75" i="57"/>
  <c r="P75" i="57"/>
  <c r="O75" i="57"/>
  <c r="K75" i="57"/>
  <c r="E75" i="57"/>
  <c r="F75" i="57" s="1"/>
  <c r="D75" i="57"/>
  <c r="R74" i="57"/>
  <c r="Q74" i="57"/>
  <c r="P74" i="57"/>
  <c r="O74" i="57"/>
  <c r="K74" i="57"/>
  <c r="D74" i="57"/>
  <c r="E74" i="57" s="1"/>
  <c r="R73" i="57"/>
  <c r="Q73" i="57"/>
  <c r="P73" i="57"/>
  <c r="O73" i="57"/>
  <c r="K73" i="57"/>
  <c r="D73" i="57"/>
  <c r="E73" i="57" s="1"/>
  <c r="R72" i="57"/>
  <c r="Q72" i="57"/>
  <c r="P72" i="57"/>
  <c r="O72" i="57"/>
  <c r="K72" i="57"/>
  <c r="F72" i="57"/>
  <c r="N72" i="57" s="1"/>
  <c r="E72" i="57"/>
  <c r="D72" i="57"/>
  <c r="L72" i="57" s="1"/>
  <c r="R71" i="57"/>
  <c r="Q71" i="57"/>
  <c r="P71" i="57"/>
  <c r="O71" i="57"/>
  <c r="M71" i="57"/>
  <c r="K71" i="57"/>
  <c r="E71" i="57"/>
  <c r="F71" i="57" s="1"/>
  <c r="D71" i="57"/>
  <c r="L71" i="57" s="1"/>
  <c r="R70" i="57"/>
  <c r="Q70" i="57"/>
  <c r="P70" i="57"/>
  <c r="O70" i="57"/>
  <c r="L70" i="57"/>
  <c r="K70" i="57"/>
  <c r="D70" i="57"/>
  <c r="E70" i="57" s="1"/>
  <c r="R69" i="57"/>
  <c r="Q69" i="57"/>
  <c r="P69" i="57"/>
  <c r="O69" i="57"/>
  <c r="K69" i="57"/>
  <c r="D69" i="57"/>
  <c r="E69" i="57" s="1"/>
  <c r="R68" i="57"/>
  <c r="Q68" i="57"/>
  <c r="P68" i="57"/>
  <c r="O68" i="57"/>
  <c r="K68" i="57"/>
  <c r="F68" i="57"/>
  <c r="N68" i="57" s="1"/>
  <c r="E68" i="57"/>
  <c r="D68" i="57"/>
  <c r="L68" i="57" s="1"/>
  <c r="R67" i="57"/>
  <c r="Q67" i="57"/>
  <c r="P67" i="57"/>
  <c r="O67" i="57"/>
  <c r="K67" i="57"/>
  <c r="E67" i="57"/>
  <c r="F67" i="57" s="1"/>
  <c r="D67" i="57"/>
  <c r="R66" i="57"/>
  <c r="Q66" i="57"/>
  <c r="P66" i="57"/>
  <c r="O66" i="57"/>
  <c r="K66" i="57"/>
  <c r="D66" i="57"/>
  <c r="E66" i="57" s="1"/>
  <c r="R65" i="57"/>
  <c r="Q65" i="57"/>
  <c r="P65" i="57"/>
  <c r="O65" i="57"/>
  <c r="K65" i="57"/>
  <c r="D65" i="57"/>
  <c r="E65" i="57" s="1"/>
  <c r="R64" i="57"/>
  <c r="Q64" i="57"/>
  <c r="P64" i="57"/>
  <c r="O64" i="57"/>
  <c r="K64" i="57"/>
  <c r="F64" i="57"/>
  <c r="N64" i="57" s="1"/>
  <c r="E64" i="57"/>
  <c r="D64" i="57"/>
  <c r="L64" i="57" s="1"/>
  <c r="R63" i="57"/>
  <c r="Q63" i="57"/>
  <c r="P63" i="57"/>
  <c r="O63" i="57"/>
  <c r="M63" i="57"/>
  <c r="K63" i="57"/>
  <c r="E63" i="57"/>
  <c r="F63" i="57" s="1"/>
  <c r="D63" i="57"/>
  <c r="L63" i="57" s="1"/>
  <c r="R62" i="57"/>
  <c r="Q62" i="57"/>
  <c r="P62" i="57"/>
  <c r="O62" i="57"/>
  <c r="L62" i="57"/>
  <c r="K62" i="57"/>
  <c r="D62" i="57"/>
  <c r="E62" i="57" s="1"/>
  <c r="R61" i="57"/>
  <c r="Q61" i="57"/>
  <c r="P61" i="57"/>
  <c r="O61" i="57"/>
  <c r="K61" i="57"/>
  <c r="D61" i="57"/>
  <c r="E61" i="57" s="1"/>
  <c r="R60" i="57"/>
  <c r="Q60" i="57"/>
  <c r="P60" i="57"/>
  <c r="O60" i="57"/>
  <c r="K60" i="57"/>
  <c r="F60" i="57"/>
  <c r="N60" i="57" s="1"/>
  <c r="E60" i="57"/>
  <c r="D60" i="57"/>
  <c r="L60" i="57" s="1"/>
  <c r="R59" i="57"/>
  <c r="Q59" i="57"/>
  <c r="P59" i="57"/>
  <c r="O59" i="57"/>
  <c r="K59" i="57"/>
  <c r="E59" i="57"/>
  <c r="F59" i="57" s="1"/>
  <c r="D59" i="57"/>
  <c r="R58" i="57"/>
  <c r="Q58" i="57"/>
  <c r="P58" i="57"/>
  <c r="O58" i="57"/>
  <c r="K58" i="57"/>
  <c r="D58" i="57"/>
  <c r="E58" i="57" s="1"/>
  <c r="R57" i="57"/>
  <c r="Q57" i="57"/>
  <c r="P57" i="57"/>
  <c r="O57" i="57"/>
  <c r="K57" i="57"/>
  <c r="D57" i="57"/>
  <c r="E57" i="57" s="1"/>
  <c r="R56" i="57"/>
  <c r="Q56" i="57"/>
  <c r="P56" i="57"/>
  <c r="O56" i="57"/>
  <c r="K56" i="57"/>
  <c r="F56" i="57"/>
  <c r="E56" i="57"/>
  <c r="D56" i="57"/>
  <c r="R55" i="57"/>
  <c r="Q55" i="57"/>
  <c r="P55" i="57"/>
  <c r="O55" i="57"/>
  <c r="K55" i="57"/>
  <c r="D55" i="57"/>
  <c r="L55" i="57" s="1"/>
  <c r="R54" i="57"/>
  <c r="Q54" i="57"/>
  <c r="P54" i="57"/>
  <c r="O54" i="57"/>
  <c r="K54" i="57"/>
  <c r="D54" i="57"/>
  <c r="E54" i="57" s="1"/>
  <c r="R53" i="57"/>
  <c r="Q53" i="57"/>
  <c r="P53" i="57"/>
  <c r="O53" i="57"/>
  <c r="K53" i="57"/>
  <c r="D53" i="57"/>
  <c r="E53" i="57" s="1"/>
  <c r="R52" i="57"/>
  <c r="Q52" i="57"/>
  <c r="P52" i="57"/>
  <c r="O52" i="57"/>
  <c r="K52" i="57"/>
  <c r="E52" i="57"/>
  <c r="M52" i="57" s="1"/>
  <c r="D52" i="57"/>
  <c r="L52" i="57" s="1"/>
  <c r="R51" i="57"/>
  <c r="Q51" i="57"/>
  <c r="P51" i="57"/>
  <c r="O51" i="57"/>
  <c r="K51" i="57"/>
  <c r="E51" i="57"/>
  <c r="F51" i="57" s="1"/>
  <c r="D51" i="57"/>
  <c r="R50" i="57"/>
  <c r="Q50" i="57"/>
  <c r="P50" i="57"/>
  <c r="O50" i="57"/>
  <c r="K50" i="57"/>
  <c r="D50" i="57"/>
  <c r="E50" i="57" s="1"/>
  <c r="R49" i="57"/>
  <c r="Q49" i="57"/>
  <c r="P49" i="57"/>
  <c r="O49" i="57"/>
  <c r="K49" i="57"/>
  <c r="F49" i="57"/>
  <c r="N49" i="57" s="1"/>
  <c r="D49" i="57"/>
  <c r="E49" i="57" s="1"/>
  <c r="M49" i="57" s="1"/>
  <c r="R48" i="57"/>
  <c r="Q48" i="57"/>
  <c r="P48" i="57"/>
  <c r="O48" i="57"/>
  <c r="K48" i="57"/>
  <c r="F48" i="57"/>
  <c r="E48" i="57"/>
  <c r="D48" i="57"/>
  <c r="R47" i="57"/>
  <c r="Q47" i="57"/>
  <c r="P47" i="57"/>
  <c r="O47" i="57"/>
  <c r="K47" i="57"/>
  <c r="D47" i="57"/>
  <c r="L47" i="57" s="1"/>
  <c r="R46" i="57"/>
  <c r="Q46" i="57"/>
  <c r="P46" i="57"/>
  <c r="O46" i="57"/>
  <c r="K46" i="57"/>
  <c r="D46" i="57"/>
  <c r="E46" i="57" s="1"/>
  <c r="R45" i="57"/>
  <c r="Q45" i="57"/>
  <c r="P45" i="57"/>
  <c r="O45" i="57"/>
  <c r="K45" i="57"/>
  <c r="D45" i="57"/>
  <c r="E45" i="57" s="1"/>
  <c r="R44" i="57"/>
  <c r="Q44" i="57"/>
  <c r="P44" i="57"/>
  <c r="O44" i="57"/>
  <c r="K44" i="57"/>
  <c r="E44" i="57"/>
  <c r="D44" i="57"/>
  <c r="R43" i="57"/>
  <c r="Q43" i="57"/>
  <c r="P43" i="57"/>
  <c r="O43" i="57"/>
  <c r="K43" i="57"/>
  <c r="D43" i="57"/>
  <c r="L43" i="57" s="1"/>
  <c r="R42" i="57"/>
  <c r="Q42" i="57"/>
  <c r="P42" i="57"/>
  <c r="O42" i="57"/>
  <c r="K42" i="57"/>
  <c r="E42" i="57"/>
  <c r="F42" i="57" s="1"/>
  <c r="N42" i="57" s="1"/>
  <c r="D42" i="57"/>
  <c r="L42" i="57" s="1"/>
  <c r="R41" i="57"/>
  <c r="Q41" i="57"/>
  <c r="P41" i="57"/>
  <c r="O41" i="57"/>
  <c r="L41" i="57"/>
  <c r="K41" i="57"/>
  <c r="F41" i="57"/>
  <c r="D41" i="57"/>
  <c r="E41" i="57" s="1"/>
  <c r="R40" i="57"/>
  <c r="Q40" i="57"/>
  <c r="P40" i="57"/>
  <c r="O40" i="57"/>
  <c r="K40" i="57"/>
  <c r="E40" i="57"/>
  <c r="F40" i="57" s="1"/>
  <c r="D40" i="57"/>
  <c r="L40" i="57" s="1"/>
  <c r="R39" i="57"/>
  <c r="Q39" i="57"/>
  <c r="P39" i="57"/>
  <c r="O39" i="57"/>
  <c r="K39" i="57"/>
  <c r="D39" i="57"/>
  <c r="E39" i="57" s="1"/>
  <c r="R38" i="57"/>
  <c r="Q38" i="57"/>
  <c r="P38" i="57"/>
  <c r="O38" i="57"/>
  <c r="K38" i="57"/>
  <c r="D38" i="57"/>
  <c r="L38" i="57" s="1"/>
  <c r="R37" i="57"/>
  <c r="Q37" i="57"/>
  <c r="P37" i="57"/>
  <c r="O37" i="57"/>
  <c r="K37" i="57"/>
  <c r="D37" i="57"/>
  <c r="E37" i="57" s="1"/>
  <c r="R36" i="57"/>
  <c r="Q36" i="57"/>
  <c r="P36" i="57"/>
  <c r="O36" i="57"/>
  <c r="K36" i="57"/>
  <c r="F36" i="57"/>
  <c r="E36" i="57"/>
  <c r="M36" i="57" s="1"/>
  <c r="D36" i="57"/>
  <c r="L36" i="57" s="1"/>
  <c r="R35" i="57"/>
  <c r="Q35" i="57"/>
  <c r="P35" i="57"/>
  <c r="O35" i="57"/>
  <c r="K35" i="57"/>
  <c r="E35" i="57"/>
  <c r="D35" i="57"/>
  <c r="L35" i="57" s="1"/>
  <c r="R34" i="57"/>
  <c r="Q34" i="57"/>
  <c r="P34" i="57"/>
  <c r="O34" i="57"/>
  <c r="K34" i="57"/>
  <c r="D34" i="57"/>
  <c r="L34" i="57" s="1"/>
  <c r="R33" i="57"/>
  <c r="Q33" i="57"/>
  <c r="P33" i="57"/>
  <c r="O33" i="57"/>
  <c r="K33" i="57"/>
  <c r="D33" i="57"/>
  <c r="E33" i="57" s="1"/>
  <c r="R32" i="57"/>
  <c r="Q32" i="57"/>
  <c r="P32" i="57"/>
  <c r="O32" i="57"/>
  <c r="K32" i="57"/>
  <c r="F32" i="57"/>
  <c r="E32" i="57"/>
  <c r="M32" i="57" s="1"/>
  <c r="D32" i="57"/>
  <c r="L32" i="57" s="1"/>
  <c r="R31" i="57"/>
  <c r="Q31" i="57"/>
  <c r="P31" i="57"/>
  <c r="O31" i="57"/>
  <c r="K31" i="57"/>
  <c r="E31" i="57"/>
  <c r="D31" i="57"/>
  <c r="L31" i="57" s="1"/>
  <c r="R30" i="57"/>
  <c r="Q30" i="57"/>
  <c r="P30" i="57"/>
  <c r="O30" i="57"/>
  <c r="K30" i="57"/>
  <c r="D30" i="57"/>
  <c r="L30" i="57" s="1"/>
  <c r="R29" i="57"/>
  <c r="Q29" i="57"/>
  <c r="P29" i="57"/>
  <c r="O29" i="57"/>
  <c r="K29" i="57"/>
  <c r="D29" i="57"/>
  <c r="E29" i="57" s="1"/>
  <c r="R28" i="57"/>
  <c r="Q28" i="57"/>
  <c r="P28" i="57"/>
  <c r="O28" i="57"/>
  <c r="K28" i="57"/>
  <c r="F28" i="57"/>
  <c r="E28" i="57"/>
  <c r="M28" i="57" s="1"/>
  <c r="D28" i="57"/>
  <c r="L28" i="57" s="1"/>
  <c r="R27" i="57"/>
  <c r="Q27" i="57"/>
  <c r="P27" i="57"/>
  <c r="O27" i="57"/>
  <c r="K27" i="57"/>
  <c r="E27" i="57"/>
  <c r="D27" i="57"/>
  <c r="L27" i="57" s="1"/>
  <c r="R26" i="57"/>
  <c r="Q26" i="57"/>
  <c r="P26" i="57"/>
  <c r="O26" i="57"/>
  <c r="K26" i="57"/>
  <c r="D26" i="57"/>
  <c r="L26" i="57" s="1"/>
  <c r="R25" i="57"/>
  <c r="Q25" i="57"/>
  <c r="P25" i="57"/>
  <c r="O25" i="57"/>
  <c r="K25" i="57"/>
  <c r="D25" i="57"/>
  <c r="E25" i="57" s="1"/>
  <c r="R24" i="57"/>
  <c r="Q24" i="57"/>
  <c r="P24" i="57"/>
  <c r="O24" i="57"/>
  <c r="K24" i="57"/>
  <c r="F24" i="57"/>
  <c r="E24" i="57"/>
  <c r="M24" i="57" s="1"/>
  <c r="D24" i="57"/>
  <c r="L24" i="57" s="1"/>
  <c r="R23" i="57"/>
  <c r="Q23" i="57"/>
  <c r="P23" i="57"/>
  <c r="O23" i="57"/>
  <c r="K23" i="57"/>
  <c r="E23" i="57"/>
  <c r="D23" i="57"/>
  <c r="L23" i="57" s="1"/>
  <c r="R22" i="57"/>
  <c r="Q22" i="57"/>
  <c r="P22" i="57"/>
  <c r="O22" i="57"/>
  <c r="K22" i="57"/>
  <c r="D22" i="57"/>
  <c r="L22" i="57" s="1"/>
  <c r="R21" i="57"/>
  <c r="Q21" i="57"/>
  <c r="P21" i="57"/>
  <c r="O21" i="57"/>
  <c r="K21" i="57"/>
  <c r="D21" i="57"/>
  <c r="E21" i="57" s="1"/>
  <c r="R20" i="57"/>
  <c r="Q20" i="57"/>
  <c r="P20" i="57"/>
  <c r="O20" i="57"/>
  <c r="K20" i="57"/>
  <c r="F20" i="57"/>
  <c r="E20" i="57"/>
  <c r="M20" i="57" s="1"/>
  <c r="D20" i="57"/>
  <c r="L20" i="57" s="1"/>
  <c r="R19" i="57"/>
  <c r="Q19" i="57"/>
  <c r="P19" i="57"/>
  <c r="O19" i="57"/>
  <c r="K19" i="57"/>
  <c r="E19" i="57"/>
  <c r="D19" i="57"/>
  <c r="L19" i="57" s="1"/>
  <c r="R18" i="57"/>
  <c r="Q18" i="57"/>
  <c r="P18" i="57"/>
  <c r="O18" i="57"/>
  <c r="K18" i="57"/>
  <c r="D18" i="57"/>
  <c r="L18" i="57" s="1"/>
  <c r="R17" i="57"/>
  <c r="Q17" i="57"/>
  <c r="P17" i="57"/>
  <c r="O17" i="57"/>
  <c r="K17" i="57"/>
  <c r="D17" i="57"/>
  <c r="E17" i="57" s="1"/>
  <c r="R16" i="57"/>
  <c r="Q16" i="57"/>
  <c r="P16" i="57"/>
  <c r="O16" i="57"/>
  <c r="K16" i="57"/>
  <c r="F16" i="57"/>
  <c r="E16" i="57"/>
  <c r="M16" i="57" s="1"/>
  <c r="D16" i="57"/>
  <c r="L16" i="57" s="1"/>
  <c r="R15" i="57"/>
  <c r="Q15" i="57"/>
  <c r="P15" i="57"/>
  <c r="O15" i="57"/>
  <c r="K15" i="57"/>
  <c r="E15" i="57"/>
  <c r="D15" i="57"/>
  <c r="L15" i="57" s="1"/>
  <c r="R14" i="57"/>
  <c r="Q14" i="57"/>
  <c r="P14" i="57"/>
  <c r="O14" i="57"/>
  <c r="K14" i="57"/>
  <c r="D14" i="57"/>
  <c r="L14" i="57" s="1"/>
  <c r="R13" i="57"/>
  <c r="Q13" i="57"/>
  <c r="P13" i="57"/>
  <c r="O13" i="57"/>
  <c r="K13" i="57"/>
  <c r="D13" i="57"/>
  <c r="E13" i="57" s="1"/>
  <c r="R12" i="57"/>
  <c r="Q12" i="57"/>
  <c r="P12" i="57"/>
  <c r="O12" i="57"/>
  <c r="K12" i="57"/>
  <c r="F12" i="57"/>
  <c r="E12" i="57"/>
  <c r="M12" i="57" s="1"/>
  <c r="D12" i="57"/>
  <c r="L12" i="57" s="1"/>
  <c r="R11" i="57"/>
  <c r="Q11" i="57"/>
  <c r="P11" i="57"/>
  <c r="O11" i="57"/>
  <c r="K11" i="57"/>
  <c r="E11" i="57"/>
  <c r="D11" i="57"/>
  <c r="L11" i="57" s="1"/>
  <c r="R10" i="57"/>
  <c r="Q10" i="57"/>
  <c r="P10" i="57"/>
  <c r="O10" i="57"/>
  <c r="K10" i="57"/>
  <c r="D10" i="57"/>
  <c r="L10" i="57" s="1"/>
  <c r="R9" i="57"/>
  <c r="Q9" i="57"/>
  <c r="P9" i="57"/>
  <c r="O9" i="57"/>
  <c r="K9" i="57"/>
  <c r="D9" i="57"/>
  <c r="E9" i="57" s="1"/>
  <c r="R8" i="57"/>
  <c r="Q8" i="57"/>
  <c r="P8" i="57"/>
  <c r="O8" i="57"/>
  <c r="K8" i="57"/>
  <c r="F8" i="57"/>
  <c r="E8" i="57"/>
  <c r="M8" i="57" s="1"/>
  <c r="D8" i="57"/>
  <c r="L8" i="57" s="1"/>
  <c r="R7" i="57"/>
  <c r="Q7" i="57"/>
  <c r="P7" i="57"/>
  <c r="O7" i="57"/>
  <c r="K7" i="57"/>
  <c r="E7" i="57"/>
  <c r="D7" i="57"/>
  <c r="L7" i="57" s="1"/>
  <c r="D6" i="57"/>
  <c r="E6" i="57" s="1"/>
  <c r="F6" i="57" s="1"/>
  <c r="T67" i="55"/>
  <c r="N67" i="55"/>
  <c r="C67" i="55"/>
  <c r="T66" i="55"/>
  <c r="N66" i="55"/>
  <c r="C66" i="55"/>
  <c r="T65" i="55"/>
  <c r="N65" i="55"/>
  <c r="C65" i="55"/>
  <c r="T64" i="55"/>
  <c r="N64" i="55"/>
  <c r="C64" i="55"/>
  <c r="T63" i="55"/>
  <c r="N63" i="55"/>
  <c r="C63" i="55"/>
  <c r="T62" i="55"/>
  <c r="N62" i="55"/>
  <c r="C62" i="55"/>
  <c r="T61" i="55"/>
  <c r="N61" i="55"/>
  <c r="C61" i="55"/>
  <c r="T60" i="55"/>
  <c r="N60" i="55"/>
  <c r="C60" i="55"/>
  <c r="T59" i="55"/>
  <c r="N59" i="55"/>
  <c r="C59" i="55"/>
  <c r="T58" i="55"/>
  <c r="N58" i="55"/>
  <c r="C58" i="55"/>
  <c r="T57" i="55"/>
  <c r="N57" i="55"/>
  <c r="C57" i="55"/>
  <c r="T56" i="55"/>
  <c r="N56" i="55"/>
  <c r="C56" i="55"/>
  <c r="T55" i="55"/>
  <c r="N55" i="55"/>
  <c r="C55" i="55"/>
  <c r="T54" i="55"/>
  <c r="N54" i="55"/>
  <c r="C54" i="55"/>
  <c r="T53" i="55"/>
  <c r="N53" i="55"/>
  <c r="C53" i="55"/>
  <c r="T52" i="55"/>
  <c r="N52" i="55"/>
  <c r="C52" i="55"/>
  <c r="T51" i="55"/>
  <c r="N51" i="55"/>
  <c r="C51" i="55"/>
  <c r="T50" i="55"/>
  <c r="N50" i="55"/>
  <c r="C50" i="55"/>
  <c r="T49" i="55"/>
  <c r="N49" i="55"/>
  <c r="C49" i="55"/>
  <c r="T48" i="55"/>
  <c r="N48" i="55"/>
  <c r="C48" i="55"/>
  <c r="T47" i="55"/>
  <c r="N47" i="55"/>
  <c r="C47" i="55"/>
  <c r="T46" i="55"/>
  <c r="N46" i="55"/>
  <c r="C46" i="55"/>
  <c r="T45" i="55"/>
  <c r="N45" i="55"/>
  <c r="C45" i="55"/>
  <c r="T44" i="55"/>
  <c r="N44" i="55"/>
  <c r="C44" i="55"/>
  <c r="T43" i="55"/>
  <c r="N43" i="55"/>
  <c r="C43" i="55"/>
  <c r="T42" i="55"/>
  <c r="N42" i="55"/>
  <c r="C42" i="55"/>
  <c r="T41" i="55"/>
  <c r="N41" i="55"/>
  <c r="C41" i="55"/>
  <c r="T40" i="55"/>
  <c r="N40" i="55"/>
  <c r="C40" i="55"/>
  <c r="T39" i="55"/>
  <c r="N39" i="55"/>
  <c r="C39" i="55"/>
  <c r="T38" i="55"/>
  <c r="N38" i="55"/>
  <c r="C38" i="55"/>
  <c r="T37" i="55"/>
  <c r="N37" i="55"/>
  <c r="C37" i="55"/>
  <c r="T36" i="55"/>
  <c r="N36" i="55"/>
  <c r="C36" i="55"/>
  <c r="T35" i="55"/>
  <c r="N35" i="55"/>
  <c r="C35" i="55"/>
  <c r="T34" i="55"/>
  <c r="N34" i="55"/>
  <c r="C34" i="55"/>
  <c r="T33" i="55"/>
  <c r="N33" i="55"/>
  <c r="C33" i="55"/>
  <c r="T32" i="55"/>
  <c r="N32" i="55"/>
  <c r="C32" i="55"/>
  <c r="T31" i="55"/>
  <c r="N31" i="55"/>
  <c r="C31" i="55"/>
  <c r="T30" i="55"/>
  <c r="N30" i="55"/>
  <c r="C30" i="55"/>
  <c r="T29" i="55"/>
  <c r="N29" i="55"/>
  <c r="C29" i="55"/>
  <c r="T28" i="55"/>
  <c r="N28" i="55"/>
  <c r="C28" i="55"/>
  <c r="T27" i="55"/>
  <c r="N27" i="55"/>
  <c r="C27" i="55"/>
  <c r="T26" i="55"/>
  <c r="N26" i="55"/>
  <c r="C26" i="55"/>
  <c r="T25" i="55"/>
  <c r="N25" i="55"/>
  <c r="C25" i="55"/>
  <c r="T24" i="55"/>
  <c r="N24" i="55"/>
  <c r="C24" i="55"/>
  <c r="T23" i="55"/>
  <c r="N23" i="55"/>
  <c r="C23" i="55"/>
  <c r="T22" i="55"/>
  <c r="N22" i="55"/>
  <c r="C22" i="55"/>
  <c r="T21" i="55"/>
  <c r="N21" i="55"/>
  <c r="C21" i="55"/>
  <c r="T20" i="55"/>
  <c r="N20" i="55"/>
  <c r="C20" i="55"/>
  <c r="T19" i="55"/>
  <c r="O19" i="55" s="1"/>
  <c r="O20" i="55" s="1"/>
  <c r="O21" i="55" s="1"/>
  <c r="O22" i="55" s="1"/>
  <c r="O23" i="55" s="1"/>
  <c r="O24" i="55" s="1"/>
  <c r="O25" i="55" s="1"/>
  <c r="O26" i="55" s="1"/>
  <c r="O27" i="55" s="1"/>
  <c r="O28" i="55" s="1"/>
  <c r="O29" i="55" s="1"/>
  <c r="O30" i="55" s="1"/>
  <c r="O31" i="55" s="1"/>
  <c r="O32" i="55" s="1"/>
  <c r="O33" i="55" s="1"/>
  <c r="O34" i="55" s="1"/>
  <c r="O35" i="55" s="1"/>
  <c r="O36" i="55" s="1"/>
  <c r="O37" i="55" s="1"/>
  <c r="O38" i="55" s="1"/>
  <c r="O39" i="55" s="1"/>
  <c r="O40" i="55" s="1"/>
  <c r="O41" i="55" s="1"/>
  <c r="O42" i="55" s="1"/>
  <c r="O43" i="55" s="1"/>
  <c r="O44" i="55" s="1"/>
  <c r="O45" i="55" s="1"/>
  <c r="O46" i="55" s="1"/>
  <c r="O47" i="55" s="1"/>
  <c r="O48" i="55" s="1"/>
  <c r="O49" i="55" s="1"/>
  <c r="O50" i="55" s="1"/>
  <c r="O51" i="55" s="1"/>
  <c r="O52" i="55" s="1"/>
  <c r="O53" i="55" s="1"/>
  <c r="O54" i="55" s="1"/>
  <c r="O55" i="55" s="1"/>
  <c r="O56" i="55" s="1"/>
  <c r="O57" i="55" s="1"/>
  <c r="O58" i="55" s="1"/>
  <c r="O59" i="55" s="1"/>
  <c r="O60" i="55" s="1"/>
  <c r="O61" i="55" s="1"/>
  <c r="O62" i="55" s="1"/>
  <c r="O63" i="55" s="1"/>
  <c r="O64" i="55" s="1"/>
  <c r="O65" i="55" s="1"/>
  <c r="O66" i="55" s="1"/>
  <c r="O67" i="55" s="1"/>
  <c r="Q19" i="55"/>
  <c r="Q20" i="55" s="1"/>
  <c r="Q21" i="55" s="1"/>
  <c r="Q22" i="55" s="1"/>
  <c r="Q23" i="55" s="1"/>
  <c r="Q24" i="55" s="1"/>
  <c r="Q25" i="55" s="1"/>
  <c r="Q26" i="55" s="1"/>
  <c r="Q27" i="55" s="1"/>
  <c r="Q28" i="55" s="1"/>
  <c r="Q29" i="55" s="1"/>
  <c r="Q30" i="55" s="1"/>
  <c r="Q31" i="55" s="1"/>
  <c r="Q32" i="55" s="1"/>
  <c r="Q33" i="55" s="1"/>
  <c r="Q34" i="55" s="1"/>
  <c r="Q35" i="55" s="1"/>
  <c r="Q36" i="55" s="1"/>
  <c r="Q37" i="55" s="1"/>
  <c r="Q38" i="55" s="1"/>
  <c r="Q39" i="55" s="1"/>
  <c r="Q40" i="55" s="1"/>
  <c r="Q41" i="55" s="1"/>
  <c r="Q42" i="55" s="1"/>
  <c r="Q43" i="55" s="1"/>
  <c r="Q44" i="55" s="1"/>
  <c r="Q45" i="55" s="1"/>
  <c r="Q46" i="55" s="1"/>
  <c r="Q47" i="55" s="1"/>
  <c r="Q48" i="55" s="1"/>
  <c r="Q49" i="55" s="1"/>
  <c r="Q50" i="55" s="1"/>
  <c r="Q51" i="55" s="1"/>
  <c r="Q52" i="55" s="1"/>
  <c r="Q53" i="55" s="1"/>
  <c r="Q54" i="55" s="1"/>
  <c r="Q55" i="55" s="1"/>
  <c r="Q56" i="55" s="1"/>
  <c r="Q57" i="55" s="1"/>
  <c r="Q58" i="55" s="1"/>
  <c r="Q59" i="55" s="1"/>
  <c r="Q60" i="55" s="1"/>
  <c r="Q61" i="55" s="1"/>
  <c r="Q62" i="55" s="1"/>
  <c r="Q63" i="55" s="1"/>
  <c r="Q64" i="55" s="1"/>
  <c r="Q65" i="55" s="1"/>
  <c r="Q66" i="55" s="1"/>
  <c r="Q67" i="55" s="1"/>
  <c r="P19" i="55"/>
  <c r="P20" i="55" s="1"/>
  <c r="P21" i="55" s="1"/>
  <c r="P22" i="55" s="1"/>
  <c r="P23" i="55" s="1"/>
  <c r="P24" i="55" s="1"/>
  <c r="P25" i="55" s="1"/>
  <c r="P26" i="55" s="1"/>
  <c r="P27" i="55" s="1"/>
  <c r="P28" i="55" s="1"/>
  <c r="P29" i="55" s="1"/>
  <c r="P30" i="55" s="1"/>
  <c r="P31" i="55" s="1"/>
  <c r="P32" i="55" s="1"/>
  <c r="P33" i="55" s="1"/>
  <c r="P34" i="55" s="1"/>
  <c r="P35" i="55" s="1"/>
  <c r="P36" i="55" s="1"/>
  <c r="P37" i="55" s="1"/>
  <c r="P38" i="55" s="1"/>
  <c r="P39" i="55" s="1"/>
  <c r="P40" i="55" s="1"/>
  <c r="P41" i="55" s="1"/>
  <c r="P42" i="55" s="1"/>
  <c r="P43" i="55" s="1"/>
  <c r="P44" i="55" s="1"/>
  <c r="P45" i="55" s="1"/>
  <c r="P46" i="55" s="1"/>
  <c r="P47" i="55" s="1"/>
  <c r="P48" i="55" s="1"/>
  <c r="P49" i="55" s="1"/>
  <c r="P50" i="55" s="1"/>
  <c r="P51" i="55" s="1"/>
  <c r="P52" i="55" s="1"/>
  <c r="P53" i="55" s="1"/>
  <c r="P54" i="55" s="1"/>
  <c r="P55" i="55" s="1"/>
  <c r="P56" i="55" s="1"/>
  <c r="P57" i="55" s="1"/>
  <c r="P58" i="55" s="1"/>
  <c r="P59" i="55" s="1"/>
  <c r="P60" i="55" s="1"/>
  <c r="P61" i="55" s="1"/>
  <c r="P62" i="55" s="1"/>
  <c r="P63" i="55" s="1"/>
  <c r="P64" i="55" s="1"/>
  <c r="P65" i="55" s="1"/>
  <c r="P66" i="55" s="1"/>
  <c r="P67" i="55" s="1"/>
  <c r="N19" i="55"/>
  <c r="D19" i="55"/>
  <c r="D20" i="55" s="1"/>
  <c r="D21" i="55" s="1"/>
  <c r="D22" i="55" s="1"/>
  <c r="D23" i="55" s="1"/>
  <c r="D24" i="55" s="1"/>
  <c r="D25" i="55" s="1"/>
  <c r="D26" i="55" s="1"/>
  <c r="D27" i="55" s="1"/>
  <c r="D28" i="55" s="1"/>
  <c r="D29" i="55" s="1"/>
  <c r="D30" i="55" s="1"/>
  <c r="D31" i="55" s="1"/>
  <c r="D32" i="55" s="1"/>
  <c r="D33" i="55" s="1"/>
  <c r="D34" i="55" s="1"/>
  <c r="D35" i="55" s="1"/>
  <c r="D36" i="55" s="1"/>
  <c r="D37" i="55" s="1"/>
  <c r="D38" i="55" s="1"/>
  <c r="D39" i="55" s="1"/>
  <c r="D40" i="55" s="1"/>
  <c r="D41" i="55" s="1"/>
  <c r="D42" i="55" s="1"/>
  <c r="D43" i="55" s="1"/>
  <c r="D44" i="55" s="1"/>
  <c r="D45" i="55" s="1"/>
  <c r="D46" i="55" s="1"/>
  <c r="D47" i="55" s="1"/>
  <c r="D48" i="55" s="1"/>
  <c r="D49" i="55" s="1"/>
  <c r="D50" i="55" s="1"/>
  <c r="D51" i="55" s="1"/>
  <c r="D52" i="55" s="1"/>
  <c r="D53" i="55" s="1"/>
  <c r="D54" i="55" s="1"/>
  <c r="D55" i="55" s="1"/>
  <c r="D56" i="55" s="1"/>
  <c r="D57" i="55" s="1"/>
  <c r="D58" i="55" s="1"/>
  <c r="D59" i="55" s="1"/>
  <c r="D60" i="55" s="1"/>
  <c r="D61" i="55" s="1"/>
  <c r="D62" i="55" s="1"/>
  <c r="D63" i="55" s="1"/>
  <c r="D64" i="55" s="1"/>
  <c r="D65" i="55" s="1"/>
  <c r="D66" i="55" s="1"/>
  <c r="D67" i="55" s="1"/>
  <c r="C19" i="55"/>
  <c r="T18" i="55"/>
  <c r="N18" i="55"/>
  <c r="E18" i="55"/>
  <c r="E19" i="55" s="1"/>
  <c r="E20" i="55" s="1"/>
  <c r="E21" i="55" s="1"/>
  <c r="E22" i="55" s="1"/>
  <c r="E23" i="55" s="1"/>
  <c r="E24" i="55" s="1"/>
  <c r="E25" i="55" s="1"/>
  <c r="E26" i="55" s="1"/>
  <c r="E27" i="55" s="1"/>
  <c r="E28" i="55" s="1"/>
  <c r="E29" i="55" s="1"/>
  <c r="E30" i="55" s="1"/>
  <c r="E31" i="55" s="1"/>
  <c r="E32" i="55" s="1"/>
  <c r="E33" i="55" s="1"/>
  <c r="E34" i="55" s="1"/>
  <c r="E35" i="55" s="1"/>
  <c r="E36" i="55" s="1"/>
  <c r="E37" i="55" s="1"/>
  <c r="E38" i="55" s="1"/>
  <c r="E39" i="55" s="1"/>
  <c r="E40" i="55" s="1"/>
  <c r="E41" i="55" s="1"/>
  <c r="E42" i="55" s="1"/>
  <c r="E43" i="55" s="1"/>
  <c r="E44" i="55" s="1"/>
  <c r="E45" i="55" s="1"/>
  <c r="E46" i="55" s="1"/>
  <c r="E47" i="55" s="1"/>
  <c r="E48" i="55" s="1"/>
  <c r="E49" i="55" s="1"/>
  <c r="E50" i="55" s="1"/>
  <c r="E51" i="55" s="1"/>
  <c r="E52" i="55" s="1"/>
  <c r="E53" i="55" s="1"/>
  <c r="E54" i="55" s="1"/>
  <c r="E55" i="55" s="1"/>
  <c r="E56" i="55" s="1"/>
  <c r="E57" i="55" s="1"/>
  <c r="E58" i="55" s="1"/>
  <c r="E59" i="55" s="1"/>
  <c r="E60" i="55" s="1"/>
  <c r="E61" i="55" s="1"/>
  <c r="E62" i="55" s="1"/>
  <c r="E63" i="55" s="1"/>
  <c r="E64" i="55" s="1"/>
  <c r="E65" i="55" s="1"/>
  <c r="E66" i="55" s="1"/>
  <c r="E67" i="55" s="1"/>
  <c r="D18" i="55"/>
  <c r="C18" i="55"/>
  <c r="T17" i="55"/>
  <c r="N17" i="55"/>
  <c r="J17" i="55"/>
  <c r="H17" i="55"/>
  <c r="F17" i="55"/>
  <c r="E17" i="55"/>
  <c r="I17" i="55" s="1"/>
  <c r="T16" i="55"/>
  <c r="N16" i="55"/>
  <c r="H16" i="55"/>
  <c r="F16" i="55"/>
  <c r="G16" i="55" s="1"/>
  <c r="E16" i="55"/>
  <c r="I16" i="55" s="1"/>
  <c r="H15" i="55"/>
  <c r="E15" i="55"/>
  <c r="F15" i="55" s="1"/>
  <c r="Q14" i="55"/>
  <c r="Q16" i="55" s="1"/>
  <c r="N14" i="55"/>
  <c r="I14" i="55"/>
  <c r="H14" i="55"/>
  <c r="E14" i="55"/>
  <c r="F14" i="55" s="1"/>
  <c r="H13" i="55"/>
  <c r="G13" i="55"/>
  <c r="K13" i="55" s="1"/>
  <c r="F13" i="55"/>
  <c r="J13" i="55" s="1"/>
  <c r="E13" i="55"/>
  <c r="I13" i="55" s="1"/>
  <c r="H12" i="55"/>
  <c r="G12" i="55"/>
  <c r="K12" i="55" s="1"/>
  <c r="F12" i="55"/>
  <c r="E12" i="55"/>
  <c r="I12" i="55" s="1"/>
  <c r="J11" i="55"/>
  <c r="H11" i="55"/>
  <c r="F11" i="55"/>
  <c r="G11" i="55" s="1"/>
  <c r="E11" i="55"/>
  <c r="I10" i="55"/>
  <c r="H10" i="55"/>
  <c r="E10" i="55"/>
  <c r="F10" i="55" s="1"/>
  <c r="H9" i="55"/>
  <c r="G9" i="55"/>
  <c r="K9" i="55" s="1"/>
  <c r="F9" i="55"/>
  <c r="J9" i="55" s="1"/>
  <c r="E9" i="55"/>
  <c r="I9" i="55" s="1"/>
  <c r="H8" i="55"/>
  <c r="G8" i="55"/>
  <c r="K8" i="55" s="1"/>
  <c r="F8" i="55"/>
  <c r="E8" i="55"/>
  <c r="I8" i="55" s="1"/>
  <c r="F7" i="55"/>
  <c r="G7" i="55" s="1"/>
  <c r="E7" i="55"/>
  <c r="I130" i="54"/>
  <c r="G130" i="54"/>
  <c r="I129" i="54"/>
  <c r="G129" i="54"/>
  <c r="I128" i="54"/>
  <c r="G128" i="54"/>
  <c r="I127" i="54"/>
  <c r="G127" i="54"/>
  <c r="I126" i="54"/>
  <c r="G126" i="54"/>
  <c r="I125" i="54"/>
  <c r="G125" i="54"/>
  <c r="I124" i="54"/>
  <c r="G124" i="54"/>
  <c r="I123" i="54"/>
  <c r="G123" i="54"/>
  <c r="I122" i="54"/>
  <c r="G122" i="54"/>
  <c r="I121" i="54"/>
  <c r="G121" i="54"/>
  <c r="I120" i="54"/>
  <c r="G120" i="54"/>
  <c r="I119" i="54"/>
  <c r="G119" i="54"/>
  <c r="I118" i="54"/>
  <c r="G118" i="54"/>
  <c r="I117" i="54"/>
  <c r="G117" i="54"/>
  <c r="I116" i="54"/>
  <c r="G116" i="54"/>
  <c r="I115" i="54"/>
  <c r="G115" i="54"/>
  <c r="I114" i="54"/>
  <c r="G114" i="54"/>
  <c r="I113" i="54"/>
  <c r="G113" i="54"/>
  <c r="I112" i="54"/>
  <c r="G112" i="54"/>
  <c r="I111" i="54"/>
  <c r="G111" i="54"/>
  <c r="I110" i="54"/>
  <c r="G110" i="54"/>
  <c r="I109" i="54"/>
  <c r="G109" i="54"/>
  <c r="I108" i="54"/>
  <c r="G108" i="54"/>
  <c r="I107" i="54"/>
  <c r="G107" i="54"/>
  <c r="I106" i="54"/>
  <c r="G106" i="54"/>
  <c r="I105" i="54"/>
  <c r="G105" i="54"/>
  <c r="I104" i="54"/>
  <c r="G104" i="54"/>
  <c r="I103" i="54"/>
  <c r="G103" i="54"/>
  <c r="I102" i="54"/>
  <c r="G102" i="54"/>
  <c r="I101" i="54"/>
  <c r="G101" i="54"/>
  <c r="I100" i="54"/>
  <c r="G100" i="54"/>
  <c r="I99" i="54"/>
  <c r="G99" i="54"/>
  <c r="I98" i="54"/>
  <c r="G98" i="54"/>
  <c r="I97" i="54"/>
  <c r="G97" i="54"/>
  <c r="I96" i="54"/>
  <c r="G96" i="54"/>
  <c r="I95" i="54"/>
  <c r="G95" i="54"/>
  <c r="I94" i="54"/>
  <c r="G94" i="54"/>
  <c r="I93" i="54"/>
  <c r="G93" i="54"/>
  <c r="I92" i="54"/>
  <c r="G92" i="54"/>
  <c r="I91" i="54"/>
  <c r="G91" i="54"/>
  <c r="I90" i="54"/>
  <c r="G90" i="54"/>
  <c r="I89" i="54"/>
  <c r="G89" i="54"/>
  <c r="I88" i="54"/>
  <c r="G88" i="54"/>
  <c r="I87" i="54"/>
  <c r="G87" i="54"/>
  <c r="I86" i="54"/>
  <c r="G86" i="54"/>
  <c r="G85" i="54"/>
  <c r="G84" i="54"/>
  <c r="G83" i="54"/>
  <c r="G82" i="54"/>
  <c r="G81" i="54"/>
  <c r="I80" i="54"/>
  <c r="G80" i="54"/>
  <c r="D78" i="54"/>
  <c r="G77" i="54"/>
  <c r="D77" i="54"/>
  <c r="T14" i="55" s="1"/>
  <c r="G76" i="54"/>
  <c r="D76" i="54"/>
  <c r="D75" i="54"/>
  <c r="D74" i="54"/>
  <c r="D73" i="54"/>
  <c r="D72" i="54"/>
  <c r="D71" i="54"/>
  <c r="D70" i="54"/>
  <c r="D69" i="54"/>
  <c r="D68" i="54"/>
  <c r="D67" i="54"/>
  <c r="D66" i="54"/>
  <c r="D65" i="54"/>
  <c r="D64" i="54"/>
  <c r="D63" i="54"/>
  <c r="D62" i="54"/>
  <c r="D61" i="54"/>
  <c r="D60" i="54"/>
  <c r="D59" i="54"/>
  <c r="D58" i="54"/>
  <c r="D57" i="54"/>
  <c r="D56" i="54"/>
  <c r="D55" i="54"/>
  <c r="D54" i="54"/>
  <c r="D53" i="54"/>
  <c r="D52" i="54"/>
  <c r="D51" i="54"/>
  <c r="D50" i="54"/>
  <c r="D49" i="54"/>
  <c r="D48" i="54"/>
  <c r="D47" i="54"/>
  <c r="D46" i="54"/>
  <c r="D45" i="54"/>
  <c r="D44" i="54"/>
  <c r="D43" i="54"/>
  <c r="D42" i="54"/>
  <c r="D41" i="54"/>
  <c r="D40" i="54"/>
  <c r="D39" i="54"/>
  <c r="D38" i="54"/>
  <c r="D37" i="54"/>
  <c r="D36" i="54"/>
  <c r="D35" i="54"/>
  <c r="D34" i="54"/>
  <c r="D33" i="54"/>
  <c r="D32" i="54"/>
  <c r="D31" i="54"/>
  <c r="D30" i="54"/>
  <c r="D29" i="54"/>
  <c r="D28" i="54"/>
  <c r="D27" i="54"/>
  <c r="D26" i="54"/>
  <c r="D25" i="54"/>
  <c r="D24" i="54"/>
  <c r="D23" i="54"/>
  <c r="D22" i="54"/>
  <c r="D21" i="54"/>
  <c r="D20" i="54"/>
  <c r="D19" i="54"/>
  <c r="D18" i="54"/>
  <c r="D17" i="54"/>
  <c r="D16" i="54"/>
  <c r="D15" i="54"/>
  <c r="D14" i="54"/>
  <c r="D13" i="54"/>
  <c r="D12" i="54"/>
  <c r="D11" i="54"/>
  <c r="D10" i="54"/>
  <c r="D9" i="54"/>
  <c r="D8" i="54"/>
  <c r="D7" i="54"/>
  <c r="I11" i="55" l="1"/>
  <c r="I15" i="55"/>
  <c r="J16" i="55"/>
  <c r="J8" i="55"/>
  <c r="G10" i="55"/>
  <c r="K10" i="55" s="1"/>
  <c r="J10" i="55"/>
  <c r="K11" i="55"/>
  <c r="J12" i="55"/>
  <c r="G14" i="55"/>
  <c r="K14" i="55" s="1"/>
  <c r="J14" i="55"/>
  <c r="F18" i="55"/>
  <c r="F19" i="55" s="1"/>
  <c r="F20" i="55" s="1"/>
  <c r="F21" i="55" s="1"/>
  <c r="F22" i="55" s="1"/>
  <c r="F23" i="55" s="1"/>
  <c r="F24" i="55" s="1"/>
  <c r="F25" i="55" s="1"/>
  <c r="F26" i="55" s="1"/>
  <c r="F27" i="55" s="1"/>
  <c r="F28" i="55" s="1"/>
  <c r="F29" i="55" s="1"/>
  <c r="F30" i="55" s="1"/>
  <c r="F31" i="55" s="1"/>
  <c r="F32" i="55" s="1"/>
  <c r="F33" i="55" s="1"/>
  <c r="F34" i="55" s="1"/>
  <c r="F35" i="55" s="1"/>
  <c r="F36" i="55" s="1"/>
  <c r="F37" i="55" s="1"/>
  <c r="F38" i="55" s="1"/>
  <c r="F39" i="55" s="1"/>
  <c r="F40" i="55" s="1"/>
  <c r="F41" i="55" s="1"/>
  <c r="F42" i="55" s="1"/>
  <c r="F43" i="55" s="1"/>
  <c r="F44" i="55" s="1"/>
  <c r="F45" i="55" s="1"/>
  <c r="F46" i="55" s="1"/>
  <c r="F47" i="55" s="1"/>
  <c r="F48" i="55" s="1"/>
  <c r="F49" i="55" s="1"/>
  <c r="F50" i="55" s="1"/>
  <c r="F51" i="55" s="1"/>
  <c r="F52" i="55" s="1"/>
  <c r="F53" i="55" s="1"/>
  <c r="F54" i="55" s="1"/>
  <c r="F55" i="55" s="1"/>
  <c r="F56" i="55" s="1"/>
  <c r="F57" i="55" s="1"/>
  <c r="F58" i="55" s="1"/>
  <c r="F59" i="55" s="1"/>
  <c r="F60" i="55" s="1"/>
  <c r="F61" i="55" s="1"/>
  <c r="F62" i="55" s="1"/>
  <c r="F63" i="55" s="1"/>
  <c r="F64" i="55" s="1"/>
  <c r="F65" i="55" s="1"/>
  <c r="F66" i="55" s="1"/>
  <c r="F67" i="55" s="1"/>
  <c r="G17" i="55"/>
  <c r="S14" i="55"/>
  <c r="S16" i="55" s="1"/>
  <c r="S17" i="55" s="1"/>
  <c r="S18" i="55" s="1"/>
  <c r="S19" i="55" s="1"/>
  <c r="S20" i="55" s="1"/>
  <c r="S21" i="55" s="1"/>
  <c r="S22" i="55" s="1"/>
  <c r="S23" i="55" s="1"/>
  <c r="S24" i="55" s="1"/>
  <c r="S25" i="55" s="1"/>
  <c r="S26" i="55" s="1"/>
  <c r="S27" i="55" s="1"/>
  <c r="S28" i="55" s="1"/>
  <c r="S29" i="55" s="1"/>
  <c r="S30" i="55" s="1"/>
  <c r="S31" i="55" s="1"/>
  <c r="S32" i="55" s="1"/>
  <c r="S33" i="55" s="1"/>
  <c r="S34" i="55" s="1"/>
  <c r="S35" i="55" s="1"/>
  <c r="S36" i="55" s="1"/>
  <c r="S37" i="55" s="1"/>
  <c r="S38" i="55" s="1"/>
  <c r="S39" i="55" s="1"/>
  <c r="S40" i="55" s="1"/>
  <c r="S41" i="55" s="1"/>
  <c r="S42" i="55" s="1"/>
  <c r="S43" i="55" s="1"/>
  <c r="S44" i="55" s="1"/>
  <c r="S45" i="55" s="1"/>
  <c r="S46" i="55" s="1"/>
  <c r="S47" i="55" s="1"/>
  <c r="S48" i="55" s="1"/>
  <c r="S49" i="55" s="1"/>
  <c r="S50" i="55" s="1"/>
  <c r="S51" i="55" s="1"/>
  <c r="S52" i="55" s="1"/>
  <c r="S53" i="55" s="1"/>
  <c r="S54" i="55" s="1"/>
  <c r="S55" i="55" s="1"/>
  <c r="S56" i="55" s="1"/>
  <c r="S57" i="55" s="1"/>
  <c r="S58" i="55" s="1"/>
  <c r="S59" i="55" s="1"/>
  <c r="S60" i="55" s="1"/>
  <c r="S61" i="55" s="1"/>
  <c r="S62" i="55" s="1"/>
  <c r="S63" i="55" s="1"/>
  <c r="S64" i="55" s="1"/>
  <c r="S65" i="55" s="1"/>
  <c r="S66" i="55" s="1"/>
  <c r="S67" i="55" s="1"/>
  <c r="R14" i="55"/>
  <c r="R16" i="55" s="1"/>
  <c r="R17" i="55" s="1"/>
  <c r="R18" i="55" s="1"/>
  <c r="R19" i="55" s="1"/>
  <c r="R20" i="55" s="1"/>
  <c r="R21" i="55" s="1"/>
  <c r="R22" i="55" s="1"/>
  <c r="R23" i="55" s="1"/>
  <c r="R24" i="55" s="1"/>
  <c r="R25" i="55" s="1"/>
  <c r="R26" i="55" s="1"/>
  <c r="R27" i="55" s="1"/>
  <c r="R28" i="55" s="1"/>
  <c r="R29" i="55" s="1"/>
  <c r="R30" i="55" s="1"/>
  <c r="R31" i="55" s="1"/>
  <c r="R32" i="55" s="1"/>
  <c r="R33" i="55" s="1"/>
  <c r="R34" i="55" s="1"/>
  <c r="R35" i="55" s="1"/>
  <c r="R36" i="55" s="1"/>
  <c r="R37" i="55" s="1"/>
  <c r="R38" i="55" s="1"/>
  <c r="R39" i="55" s="1"/>
  <c r="R40" i="55" s="1"/>
  <c r="R41" i="55" s="1"/>
  <c r="R42" i="55" s="1"/>
  <c r="R43" i="55" s="1"/>
  <c r="R44" i="55" s="1"/>
  <c r="R45" i="55" s="1"/>
  <c r="R46" i="55" s="1"/>
  <c r="R47" i="55" s="1"/>
  <c r="R48" i="55" s="1"/>
  <c r="R49" i="55" s="1"/>
  <c r="R50" i="55" s="1"/>
  <c r="R51" i="55" s="1"/>
  <c r="R52" i="55" s="1"/>
  <c r="R53" i="55" s="1"/>
  <c r="R54" i="55" s="1"/>
  <c r="R55" i="55" s="1"/>
  <c r="R56" i="55" s="1"/>
  <c r="R57" i="55" s="1"/>
  <c r="R58" i="55" s="1"/>
  <c r="R59" i="55" s="1"/>
  <c r="R60" i="55" s="1"/>
  <c r="R61" i="55" s="1"/>
  <c r="R62" i="55" s="1"/>
  <c r="R63" i="55" s="1"/>
  <c r="R64" i="55" s="1"/>
  <c r="R65" i="55" s="1"/>
  <c r="R66" i="55" s="1"/>
  <c r="R67" i="55" s="1"/>
  <c r="G15" i="55"/>
  <c r="K15" i="55" s="1"/>
  <c r="J15" i="55"/>
  <c r="F9" i="57"/>
  <c r="N9" i="57" s="1"/>
  <c r="M9" i="57"/>
  <c r="M15" i="57"/>
  <c r="F25" i="57"/>
  <c r="N25" i="57" s="1"/>
  <c r="M25" i="57"/>
  <c r="M31" i="57"/>
  <c r="N40" i="57"/>
  <c r="F21" i="57"/>
  <c r="N21" i="57" s="1"/>
  <c r="M21" i="57"/>
  <c r="F37" i="57"/>
  <c r="N37" i="57" s="1"/>
  <c r="M37" i="57"/>
  <c r="M40" i="57"/>
  <c r="F39" i="57"/>
  <c r="M39" i="57"/>
  <c r="M7" i="57"/>
  <c r="N8" i="57"/>
  <c r="F17" i="57"/>
  <c r="N17" i="57" s="1"/>
  <c r="M17" i="57"/>
  <c r="M23" i="57"/>
  <c r="N24" i="57"/>
  <c r="F33" i="57"/>
  <c r="N33" i="57" s="1"/>
  <c r="M33" i="57"/>
  <c r="F13" i="57"/>
  <c r="N13" i="57" s="1"/>
  <c r="M13" i="57"/>
  <c r="F29" i="57"/>
  <c r="N29" i="57" s="1"/>
  <c r="M29" i="57"/>
  <c r="N41" i="57"/>
  <c r="F7" i="57"/>
  <c r="N7" i="57" s="1"/>
  <c r="L9" i="57"/>
  <c r="E10" i="57"/>
  <c r="F11" i="57"/>
  <c r="L13" i="57"/>
  <c r="E14" i="57"/>
  <c r="F15" i="57"/>
  <c r="L17" i="57"/>
  <c r="E18" i="57"/>
  <c r="F19" i="57"/>
  <c r="L21" i="57"/>
  <c r="E22" i="57"/>
  <c r="F23" i="57"/>
  <c r="L25" i="57"/>
  <c r="E26" i="57"/>
  <c r="F27" i="57"/>
  <c r="L29" i="57"/>
  <c r="E30" i="57"/>
  <c r="F31" i="57"/>
  <c r="L33" i="57"/>
  <c r="E34" i="57"/>
  <c r="F35" i="57"/>
  <c r="L37" i="57"/>
  <c r="E38" i="57"/>
  <c r="L39" i="57"/>
  <c r="E43" i="57"/>
  <c r="F44" i="57"/>
  <c r="M45" i="57"/>
  <c r="F46" i="57"/>
  <c r="M46" i="57"/>
  <c r="E47" i="57"/>
  <c r="L48" i="57"/>
  <c r="L50" i="57"/>
  <c r="L51" i="57"/>
  <c r="F52" i="57"/>
  <c r="N52" i="57" s="1"/>
  <c r="M53" i="57"/>
  <c r="F54" i="57"/>
  <c r="N54" i="57" s="1"/>
  <c r="M54" i="57"/>
  <c r="E55" i="57"/>
  <c r="L56" i="57"/>
  <c r="M41" i="57"/>
  <c r="F45" i="57"/>
  <c r="M51" i="57"/>
  <c r="F53" i="57"/>
  <c r="F57" i="57"/>
  <c r="N57" i="57" s="1"/>
  <c r="M57" i="57"/>
  <c r="L58" i="57"/>
  <c r="M59" i="57"/>
  <c r="F62" i="57"/>
  <c r="N62" i="57" s="1"/>
  <c r="M62" i="57"/>
  <c r="M64" i="57"/>
  <c r="F65" i="57"/>
  <c r="N65" i="57" s="1"/>
  <c r="M65" i="57"/>
  <c r="L66" i="57"/>
  <c r="M67" i="57"/>
  <c r="F70" i="57"/>
  <c r="M70" i="57"/>
  <c r="M72" i="57"/>
  <c r="F73" i="57"/>
  <c r="N73" i="57" s="1"/>
  <c r="M73" i="57"/>
  <c r="L74" i="57"/>
  <c r="M75" i="57"/>
  <c r="M42" i="57"/>
  <c r="L44" i="57"/>
  <c r="L46" i="57"/>
  <c r="F50" i="57"/>
  <c r="N50" i="57" s="1"/>
  <c r="M50" i="57"/>
  <c r="N51" i="57"/>
  <c r="L54" i="57"/>
  <c r="L59" i="57"/>
  <c r="L67" i="57"/>
  <c r="L75" i="57"/>
  <c r="F58" i="57"/>
  <c r="M58" i="57"/>
  <c r="N59" i="57"/>
  <c r="M60" i="57"/>
  <c r="F61" i="57"/>
  <c r="N61" i="57" s="1"/>
  <c r="M61" i="57"/>
  <c r="F66" i="57"/>
  <c r="N66" i="57" s="1"/>
  <c r="M66" i="57"/>
  <c r="M68" i="57"/>
  <c r="F69" i="57"/>
  <c r="N69" i="57" s="1"/>
  <c r="M69" i="57"/>
  <c r="F74" i="57"/>
  <c r="M74" i="57"/>
  <c r="N75" i="57"/>
  <c r="M76" i="57"/>
  <c r="F77" i="57"/>
  <c r="M78" i="57"/>
  <c r="M77" i="57"/>
  <c r="N10" i="58"/>
  <c r="F12" i="58"/>
  <c r="M12" i="58"/>
  <c r="M19" i="58"/>
  <c r="F19" i="58"/>
  <c r="N19" i="58" s="1"/>
  <c r="F21" i="58"/>
  <c r="M21" i="58"/>
  <c r="N26" i="58"/>
  <c r="F28" i="58"/>
  <c r="N28" i="58" s="1"/>
  <c r="M28" i="58"/>
  <c r="L45" i="57"/>
  <c r="L49" i="57"/>
  <c r="L53" i="57"/>
  <c r="L57" i="57"/>
  <c r="L61" i="57"/>
  <c r="L65" i="57"/>
  <c r="L69" i="57"/>
  <c r="L73" i="57"/>
  <c r="L77" i="57"/>
  <c r="L78" i="57"/>
  <c r="M7" i="58"/>
  <c r="F7" i="58"/>
  <c r="N7" i="58" s="1"/>
  <c r="F9" i="58"/>
  <c r="M9" i="58"/>
  <c r="N14" i="58"/>
  <c r="F16" i="58"/>
  <c r="M16" i="58"/>
  <c r="M23" i="58"/>
  <c r="F23" i="58"/>
  <c r="N23" i="58" s="1"/>
  <c r="F25" i="58"/>
  <c r="M25" i="58"/>
  <c r="M11" i="58"/>
  <c r="F11" i="58"/>
  <c r="N11" i="58" s="1"/>
  <c r="F13" i="58"/>
  <c r="N13" i="58" s="1"/>
  <c r="M13" i="58"/>
  <c r="F20" i="58"/>
  <c r="N20" i="58" s="1"/>
  <c r="M20" i="58"/>
  <c r="M27" i="58"/>
  <c r="F27" i="58"/>
  <c r="N27" i="58" s="1"/>
  <c r="F8" i="58"/>
  <c r="N8" i="58" s="1"/>
  <c r="M8" i="58"/>
  <c r="M15" i="58"/>
  <c r="F15" i="58"/>
  <c r="N15" i="58" s="1"/>
  <c r="F17" i="58"/>
  <c r="N17" i="58" s="1"/>
  <c r="M17" i="58"/>
  <c r="N22" i="58"/>
  <c r="F24" i="58"/>
  <c r="M24" i="58"/>
  <c r="L9" i="58"/>
  <c r="M10" i="58"/>
  <c r="L13" i="58"/>
  <c r="M14" i="58"/>
  <c r="L17" i="58"/>
  <c r="M18" i="58"/>
  <c r="L21" i="58"/>
  <c r="M22" i="58"/>
  <c r="L25" i="58"/>
  <c r="M26" i="58"/>
  <c r="F29" i="58"/>
  <c r="M29" i="58"/>
  <c r="M31" i="58"/>
  <c r="F33" i="58"/>
  <c r="N33" i="58" s="1"/>
  <c r="M33" i="58"/>
  <c r="N36" i="58"/>
  <c r="F45" i="58"/>
  <c r="M45" i="58"/>
  <c r="M47" i="58"/>
  <c r="F48" i="58"/>
  <c r="N48" i="58" s="1"/>
  <c r="M48" i="58"/>
  <c r="L8" i="58"/>
  <c r="L12" i="58"/>
  <c r="L16" i="58"/>
  <c r="L20" i="58"/>
  <c r="L24" i="58"/>
  <c r="L28" i="58"/>
  <c r="L7" i="58"/>
  <c r="L11" i="58"/>
  <c r="L15" i="58"/>
  <c r="L19" i="58"/>
  <c r="L23" i="58"/>
  <c r="L27" i="58"/>
  <c r="L29" i="58"/>
  <c r="M30" i="58"/>
  <c r="N32" i="58"/>
  <c r="L33" i="58"/>
  <c r="M34" i="58"/>
  <c r="F37" i="58"/>
  <c r="N37" i="58" s="1"/>
  <c r="M37" i="58"/>
  <c r="M39" i="58"/>
  <c r="F41" i="58"/>
  <c r="N41" i="58" s="1"/>
  <c r="M41" i="58"/>
  <c r="M43" i="58"/>
  <c r="F44" i="58"/>
  <c r="N44" i="58" s="1"/>
  <c r="M44" i="58"/>
  <c r="L45" i="58"/>
  <c r="M46" i="58"/>
  <c r="F49" i="58"/>
  <c r="N49" i="58" s="1"/>
  <c r="M49" i="58"/>
  <c r="M51" i="58"/>
  <c r="F53" i="58"/>
  <c r="N53" i="58" s="1"/>
  <c r="M53" i="58"/>
  <c r="L30" i="58"/>
  <c r="L34" i="58"/>
  <c r="M35" i="58"/>
  <c r="L46" i="58"/>
  <c r="L44" i="58"/>
  <c r="L48" i="58"/>
  <c r="L35" i="58"/>
  <c r="M36" i="58"/>
  <c r="L55" i="58"/>
  <c r="M55" i="58"/>
  <c r="F55" i="57" l="1"/>
  <c r="M55" i="57"/>
  <c r="F47" i="57"/>
  <c r="M47" i="57"/>
  <c r="M48" i="57"/>
  <c r="F26" i="57"/>
  <c r="N26" i="57" s="1"/>
  <c r="M26" i="57"/>
  <c r="F10" i="57"/>
  <c r="N10" i="57" s="1"/>
  <c r="M10" i="57"/>
  <c r="M27" i="57"/>
  <c r="M11" i="57"/>
  <c r="G18" i="55"/>
  <c r="G19" i="55" s="1"/>
  <c r="G20" i="55" s="1"/>
  <c r="G21" i="55" s="1"/>
  <c r="G22" i="55" s="1"/>
  <c r="G23" i="55" s="1"/>
  <c r="G24" i="55" s="1"/>
  <c r="G25" i="55" s="1"/>
  <c r="G26" i="55" s="1"/>
  <c r="G27" i="55" s="1"/>
  <c r="G28" i="55" s="1"/>
  <c r="G29" i="55" s="1"/>
  <c r="G30" i="55" s="1"/>
  <c r="G31" i="55" s="1"/>
  <c r="G32" i="55" s="1"/>
  <c r="G33" i="55" s="1"/>
  <c r="G34" i="55" s="1"/>
  <c r="G35" i="55" s="1"/>
  <c r="G36" i="55" s="1"/>
  <c r="G37" i="55" s="1"/>
  <c r="G38" i="55" s="1"/>
  <c r="G39" i="55" s="1"/>
  <c r="G40" i="55" s="1"/>
  <c r="G41" i="55" s="1"/>
  <c r="G42" i="55" s="1"/>
  <c r="G43" i="55" s="1"/>
  <c r="G44" i="55" s="1"/>
  <c r="G45" i="55" s="1"/>
  <c r="G46" i="55" s="1"/>
  <c r="G47" i="55" s="1"/>
  <c r="G48" i="55" s="1"/>
  <c r="G49" i="55" s="1"/>
  <c r="G50" i="55" s="1"/>
  <c r="G51" i="55" s="1"/>
  <c r="G52" i="55" s="1"/>
  <c r="G53" i="55" s="1"/>
  <c r="G54" i="55" s="1"/>
  <c r="G55" i="55" s="1"/>
  <c r="G56" i="55" s="1"/>
  <c r="G57" i="55" s="1"/>
  <c r="G58" i="55" s="1"/>
  <c r="G59" i="55" s="1"/>
  <c r="G60" i="55" s="1"/>
  <c r="G61" i="55" s="1"/>
  <c r="G62" i="55" s="1"/>
  <c r="G63" i="55" s="1"/>
  <c r="G64" i="55" s="1"/>
  <c r="G65" i="55" s="1"/>
  <c r="G66" i="55" s="1"/>
  <c r="G67" i="55" s="1"/>
  <c r="K17" i="55"/>
  <c r="N45" i="58"/>
  <c r="N29" i="58"/>
  <c r="N24" i="58"/>
  <c r="N18" i="58"/>
  <c r="N70" i="57"/>
  <c r="N45" i="57"/>
  <c r="F43" i="57"/>
  <c r="N43" i="57" s="1"/>
  <c r="M43" i="57"/>
  <c r="F30" i="57"/>
  <c r="N30" i="57" s="1"/>
  <c r="M30" i="57"/>
  <c r="F14" i="57"/>
  <c r="N14" i="57" s="1"/>
  <c r="M14" i="57"/>
  <c r="N36" i="57"/>
  <c r="N20" i="57"/>
  <c r="M44" i="57"/>
  <c r="N54" i="58"/>
  <c r="N50" i="58"/>
  <c r="N42" i="58"/>
  <c r="N38" i="58"/>
  <c r="N9" i="58"/>
  <c r="M56" i="57"/>
  <c r="N46" i="57"/>
  <c r="F34" i="57"/>
  <c r="N34" i="57" s="1"/>
  <c r="M34" i="57"/>
  <c r="N23" i="57"/>
  <c r="F18" i="57"/>
  <c r="N18" i="57" s="1"/>
  <c r="M18" i="57"/>
  <c r="M35" i="57"/>
  <c r="M19" i="57"/>
  <c r="N46" i="58"/>
  <c r="N34" i="58"/>
  <c r="N30" i="58"/>
  <c r="N25" i="58"/>
  <c r="N16" i="58"/>
  <c r="N21" i="58"/>
  <c r="N12" i="58"/>
  <c r="N78" i="57"/>
  <c r="N77" i="57"/>
  <c r="N74" i="57"/>
  <c r="N67" i="57"/>
  <c r="N58" i="57"/>
  <c r="N71" i="57"/>
  <c r="N63" i="57"/>
  <c r="N53" i="57"/>
  <c r="F38" i="57"/>
  <c r="N38" i="57" s="1"/>
  <c r="M38" i="57"/>
  <c r="F22" i="57"/>
  <c r="N22" i="57" s="1"/>
  <c r="M22" i="57"/>
  <c r="N11" i="57"/>
  <c r="N28" i="57"/>
  <c r="N12" i="57"/>
  <c r="N32" i="57"/>
  <c r="N16" i="57"/>
  <c r="K16" i="55"/>
  <c r="H55" i="27"/>
  <c r="C57" i="49" s="1"/>
  <c r="H54" i="27"/>
  <c r="C56" i="49" s="1"/>
  <c r="H53" i="27"/>
  <c r="AA65" i="14" s="1"/>
  <c r="H52" i="27"/>
  <c r="AA64" i="14" s="1"/>
  <c r="H51" i="27"/>
  <c r="AA63" i="14" s="1"/>
  <c r="H50" i="27"/>
  <c r="AA62" i="14" s="1"/>
  <c r="H49" i="27"/>
  <c r="AA61" i="14" s="1"/>
  <c r="H48" i="27"/>
  <c r="AA60" i="14" s="1"/>
  <c r="H47" i="27"/>
  <c r="AA59" i="14" s="1"/>
  <c r="H46" i="27"/>
  <c r="AA58" i="14" s="1"/>
  <c r="H45" i="27"/>
  <c r="AA57" i="14" s="1"/>
  <c r="H44" i="27"/>
  <c r="AA56" i="14" s="1"/>
  <c r="H43" i="27"/>
  <c r="AA55" i="14" s="1"/>
  <c r="H42" i="27"/>
  <c r="AA54" i="14" s="1"/>
  <c r="H41" i="27"/>
  <c r="AA53" i="14" s="1"/>
  <c r="H40" i="27"/>
  <c r="AA52" i="14" s="1"/>
  <c r="H39" i="27"/>
  <c r="AA51" i="14" s="1"/>
  <c r="H38" i="27"/>
  <c r="AA50" i="14" s="1"/>
  <c r="H37" i="27"/>
  <c r="AA49" i="14" s="1"/>
  <c r="H36" i="27"/>
  <c r="AA48" i="14" s="1"/>
  <c r="H35" i="27"/>
  <c r="AA47" i="14" s="1"/>
  <c r="H34" i="27"/>
  <c r="AA46" i="14" s="1"/>
  <c r="H33" i="27"/>
  <c r="AA45" i="14" s="1"/>
  <c r="H32" i="27"/>
  <c r="AA44" i="14" s="1"/>
  <c r="H31" i="27"/>
  <c r="AA43" i="14" s="1"/>
  <c r="H30" i="27"/>
  <c r="AA42" i="14" s="1"/>
  <c r="H29" i="27"/>
  <c r="AA41" i="14" s="1"/>
  <c r="H28" i="27"/>
  <c r="AA40" i="14" s="1"/>
  <c r="H27" i="27"/>
  <c r="AA39" i="14" s="1"/>
  <c r="H26" i="27"/>
  <c r="AA38" i="14" s="1"/>
  <c r="H25" i="27"/>
  <c r="AA37" i="14" s="1"/>
  <c r="H24" i="27"/>
  <c r="AA36" i="14" s="1"/>
  <c r="H23" i="27"/>
  <c r="AA35" i="14" s="1"/>
  <c r="H22" i="27"/>
  <c r="AA34" i="14" s="1"/>
  <c r="H21" i="27"/>
  <c r="AA33" i="14" s="1"/>
  <c r="H20" i="27"/>
  <c r="AA32" i="14" s="1"/>
  <c r="H19" i="27"/>
  <c r="AA31" i="14" s="1"/>
  <c r="H18" i="27"/>
  <c r="AA30" i="14" s="1"/>
  <c r="H17" i="27"/>
  <c r="AA29" i="14" s="1"/>
  <c r="H16" i="27"/>
  <c r="AA28" i="14" s="1"/>
  <c r="H15" i="27"/>
  <c r="AA27" i="14" s="1"/>
  <c r="H14" i="27"/>
  <c r="AA26" i="14" s="1"/>
  <c r="H13" i="27"/>
  <c r="AA25" i="14" s="1"/>
  <c r="H12" i="27"/>
  <c r="AA24" i="14" s="1"/>
  <c r="H11" i="27"/>
  <c r="AA23" i="14" s="1"/>
  <c r="H10" i="27"/>
  <c r="AA22" i="14" s="1"/>
  <c r="H9" i="27"/>
  <c r="AA21" i="14" s="1"/>
  <c r="H8" i="27"/>
  <c r="AA20" i="14" s="1"/>
  <c r="H7" i="27"/>
  <c r="AA19" i="14" s="1"/>
  <c r="H6" i="27"/>
  <c r="H5" i="27"/>
  <c r="C7" i="49" s="1"/>
  <c r="AA18" i="14" l="1"/>
  <c r="N19" i="57"/>
  <c r="N31" i="57"/>
  <c r="N47" i="57"/>
  <c r="N48" i="57"/>
  <c r="N15" i="57"/>
  <c r="N44" i="57"/>
  <c r="N39" i="57"/>
  <c r="N27" i="57"/>
  <c r="N35" i="57"/>
  <c r="N55" i="57"/>
  <c r="N56" i="57"/>
  <c r="C58" i="49"/>
  <c r="H7" i="53"/>
  <c r="E7" i="53"/>
  <c r="B7" i="53"/>
  <c r="H6" i="53"/>
  <c r="E6" i="53"/>
  <c r="B6" i="53"/>
  <c r="H5" i="53"/>
  <c r="E5" i="53"/>
  <c r="B5" i="53"/>
  <c r="H4" i="53"/>
  <c r="E4" i="53"/>
  <c r="B4" i="53"/>
  <c r="K70" i="12" l="1"/>
  <c r="K71" i="12" s="1"/>
  <c r="K72" i="12" s="1"/>
  <c r="K73" i="12" s="1"/>
  <c r="K74" i="12" s="1"/>
  <c r="K75" i="12" s="1"/>
  <c r="K76" i="12" s="1"/>
  <c r="K77" i="12" s="1"/>
  <c r="K78" i="12" s="1"/>
  <c r="K79" i="12" s="1"/>
  <c r="K80" i="12" s="1"/>
  <c r="K81" i="12" s="1"/>
  <c r="K82" i="12" s="1"/>
  <c r="K83" i="12" s="1"/>
  <c r="K84" i="12" s="1"/>
  <c r="K85" i="12" s="1"/>
  <c r="K86" i="12" s="1"/>
  <c r="K87" i="12" s="1"/>
  <c r="K88" i="12" s="1"/>
  <c r="K89" i="12" s="1"/>
  <c r="K90" i="12" s="1"/>
  <c r="K91" i="12" s="1"/>
  <c r="K92" i="12" s="1"/>
  <c r="K93" i="12" s="1"/>
  <c r="K94" i="12" s="1"/>
  <c r="K95" i="12" s="1"/>
  <c r="K96" i="12" s="1"/>
  <c r="K97" i="12" s="1"/>
  <c r="K98" i="12" s="1"/>
  <c r="K99" i="12" s="1"/>
  <c r="K100" i="12" s="1"/>
  <c r="K101" i="12" s="1"/>
  <c r="K102" i="12" s="1"/>
  <c r="K103" i="12" s="1"/>
  <c r="K104" i="12" s="1"/>
  <c r="K105" i="12" s="1"/>
  <c r="K106" i="12" s="1"/>
  <c r="K107" i="12" s="1"/>
  <c r="K108" i="12" s="1"/>
  <c r="K109" i="12" s="1"/>
  <c r="K110" i="12" s="1"/>
  <c r="K111" i="12" s="1"/>
  <c r="K112" i="12" s="1"/>
  <c r="K113" i="12" s="1"/>
  <c r="K114" i="12" s="1"/>
  <c r="K115" i="12" s="1"/>
  <c r="K116" i="12" s="1"/>
  <c r="K117" i="12" s="1"/>
  <c r="K118" i="12" s="1"/>
  <c r="K119" i="12" s="1"/>
  <c r="K120" i="12" s="1"/>
  <c r="K121" i="12" s="1"/>
  <c r="K122" i="12" s="1"/>
  <c r="K123" i="12" s="1"/>
  <c r="K124" i="12" s="1"/>
  <c r="K125" i="12" s="1"/>
  <c r="K126" i="12" s="1"/>
  <c r="K127" i="12" s="1"/>
  <c r="K128" i="12" s="1"/>
  <c r="K129" i="12" s="1"/>
  <c r="K130" i="12" s="1"/>
  <c r="K131" i="12" s="1"/>
  <c r="K132" i="12" s="1"/>
  <c r="K133" i="12" s="1"/>
  <c r="K134" i="12" s="1"/>
  <c r="K135" i="12" s="1"/>
  <c r="K136" i="12" s="1"/>
  <c r="K137" i="12" s="1"/>
  <c r="K138" i="12" s="1"/>
  <c r="K139" i="12" s="1"/>
  <c r="K140" i="12" s="1"/>
  <c r="K141" i="12" s="1"/>
  <c r="K142" i="12" s="1"/>
  <c r="K143" i="12" s="1"/>
  <c r="K144" i="12" s="1"/>
  <c r="K145" i="12" s="1"/>
  <c r="K146" i="12" s="1"/>
  <c r="K147" i="12" s="1"/>
  <c r="K148" i="12" s="1"/>
  <c r="G11" i="14" l="1"/>
  <c r="G9" i="14"/>
  <c r="G7" i="14" l="1"/>
  <c r="CE69" i="12" l="1"/>
  <c r="CE70" i="12" s="1"/>
  <c r="CE71" i="12" s="1"/>
  <c r="CE72" i="12" s="1"/>
  <c r="CE73" i="12" s="1"/>
  <c r="CE74" i="12" s="1"/>
  <c r="CE75" i="12" s="1"/>
  <c r="CE76" i="12" s="1"/>
  <c r="CE77" i="12" s="1"/>
  <c r="CE78" i="12" s="1"/>
  <c r="CE79" i="12" s="1"/>
  <c r="CE80" i="12" s="1"/>
  <c r="CE81" i="12" s="1"/>
  <c r="CE82" i="12" s="1"/>
  <c r="CE83" i="12" s="1"/>
  <c r="CE84" i="12" s="1"/>
  <c r="CE85" i="12" s="1"/>
  <c r="CE86" i="12" s="1"/>
  <c r="CE87" i="12" s="1"/>
  <c r="CE88" i="12" s="1"/>
  <c r="CE89" i="12" s="1"/>
  <c r="CE90" i="12" s="1"/>
  <c r="CE91" i="12" s="1"/>
  <c r="CE92" i="12" s="1"/>
  <c r="CE93" i="12" s="1"/>
  <c r="CE94" i="12" s="1"/>
  <c r="CE95" i="12" s="1"/>
  <c r="CE96" i="12" s="1"/>
  <c r="CE97" i="12" s="1"/>
  <c r="CE98" i="12" s="1"/>
  <c r="CE99" i="12" s="1"/>
  <c r="CE100" i="12" s="1"/>
  <c r="CE101" i="12" s="1"/>
  <c r="CE102" i="12" s="1"/>
  <c r="CE103" i="12" s="1"/>
  <c r="CE104" i="12" s="1"/>
  <c r="CE105" i="12" s="1"/>
  <c r="CE106" i="12" s="1"/>
  <c r="CE107" i="12" s="1"/>
  <c r="CE108" i="12" s="1"/>
  <c r="CE109" i="12" s="1"/>
  <c r="CE110" i="12" s="1"/>
  <c r="CE111" i="12" s="1"/>
  <c r="CE112" i="12" s="1"/>
  <c r="CE113" i="12" s="1"/>
  <c r="CE114" i="12" s="1"/>
  <c r="CE115" i="12" s="1"/>
  <c r="CE116" i="12" s="1"/>
  <c r="CE117" i="12" s="1"/>
  <c r="CE118" i="12" s="1"/>
  <c r="CE119" i="12" s="1"/>
  <c r="CE120" i="12" s="1"/>
  <c r="CE121" i="12" s="1"/>
  <c r="CE122" i="12" s="1"/>
  <c r="CE123" i="12" s="1"/>
  <c r="CE124" i="12" s="1"/>
  <c r="CE125" i="12" s="1"/>
  <c r="CE126" i="12" s="1"/>
  <c r="CE127" i="12" s="1"/>
  <c r="CE128" i="12" s="1"/>
  <c r="CE129" i="12" s="1"/>
  <c r="CE130" i="12" s="1"/>
  <c r="CE131" i="12" s="1"/>
  <c r="CE132" i="12" s="1"/>
  <c r="CE133" i="12" s="1"/>
  <c r="CE134" i="12" s="1"/>
  <c r="CE135" i="12" s="1"/>
  <c r="CE136" i="12" s="1"/>
  <c r="CE137" i="12" s="1"/>
  <c r="CE138" i="12" s="1"/>
  <c r="CE139" i="12" s="1"/>
  <c r="CE140" i="12" s="1"/>
  <c r="CE141" i="12" s="1"/>
  <c r="CE142" i="12" s="1"/>
  <c r="CE143" i="12" s="1"/>
  <c r="CE144" i="12" s="1"/>
  <c r="CE145" i="12" s="1"/>
  <c r="CE146" i="12" s="1"/>
  <c r="CE147" i="12" s="1"/>
  <c r="CE148" i="12" s="1"/>
  <c r="Y66" i="12"/>
  <c r="X66" i="12"/>
  <c r="F1" i="12" l="1"/>
  <c r="S63" i="12" l="1"/>
  <c r="S59" i="12"/>
  <c r="S55" i="12"/>
  <c r="S51" i="12"/>
  <c r="S47" i="12"/>
  <c r="S43" i="12"/>
  <c r="S39" i="12"/>
  <c r="S35" i="12"/>
  <c r="S31" i="12"/>
  <c r="S27" i="12"/>
  <c r="S23" i="12"/>
  <c r="S19" i="12"/>
  <c r="S15" i="12"/>
  <c r="S11" i="12"/>
  <c r="S7" i="12"/>
  <c r="W64" i="12"/>
  <c r="V63" i="12"/>
  <c r="W60" i="12"/>
  <c r="V59" i="12"/>
  <c r="W56" i="12"/>
  <c r="V55" i="12"/>
  <c r="W52" i="12"/>
  <c r="V51" i="12"/>
  <c r="W48" i="12"/>
  <c r="V47" i="12"/>
  <c r="W44" i="12"/>
  <c r="V43" i="12"/>
  <c r="W40" i="12"/>
  <c r="V39" i="12"/>
  <c r="W36" i="12"/>
  <c r="V35" i="12"/>
  <c r="W32" i="12"/>
  <c r="V31" i="12"/>
  <c r="W28" i="12"/>
  <c r="V27" i="12"/>
  <c r="W24" i="12"/>
  <c r="V23" i="12"/>
  <c r="W20" i="12"/>
  <c r="S62" i="12"/>
  <c r="S58" i="12"/>
  <c r="S54" i="12"/>
  <c r="S50" i="12"/>
  <c r="S46" i="12"/>
  <c r="S42" i="12"/>
  <c r="S38" i="12"/>
  <c r="S34" i="12"/>
  <c r="S30" i="12"/>
  <c r="S26" i="12"/>
  <c r="S22" i="12"/>
  <c r="S18" i="12"/>
  <c r="S14" i="12"/>
  <c r="S10" i="12"/>
  <c r="S6" i="12"/>
  <c r="V64" i="12"/>
  <c r="W61" i="12"/>
  <c r="V60" i="12"/>
  <c r="H60" i="12" s="1"/>
  <c r="W57" i="12"/>
  <c r="V56" i="12"/>
  <c r="W53" i="12"/>
  <c r="V52" i="12"/>
  <c r="H52" i="12" s="1"/>
  <c r="W49" i="12"/>
  <c r="V48" i="12"/>
  <c r="W45" i="12"/>
  <c r="V44" i="12"/>
  <c r="H44" i="12" s="1"/>
  <c r="W41" i="12"/>
  <c r="V40" i="12"/>
  <c r="W37" i="12"/>
  <c r="V36" i="12"/>
  <c r="H36" i="12" s="1"/>
  <c r="W33" i="12"/>
  <c r="V32" i="12"/>
  <c r="W29" i="12"/>
  <c r="V28" i="12"/>
  <c r="H28" i="12" s="1"/>
  <c r="W25" i="12"/>
  <c r="V24" i="12"/>
  <c r="W21" i="12"/>
  <c r="V20" i="12"/>
  <c r="V18" i="12"/>
  <c r="V16" i="12"/>
  <c r="V14" i="12"/>
  <c r="V12" i="12"/>
  <c r="V10" i="12"/>
  <c r="V8" i="12"/>
  <c r="V6" i="12"/>
  <c r="F64" i="12"/>
  <c r="F62" i="12"/>
  <c r="F60" i="12"/>
  <c r="F58" i="12"/>
  <c r="F56" i="12"/>
  <c r="F54" i="12"/>
  <c r="F52" i="12"/>
  <c r="F50" i="12"/>
  <c r="F48" i="12"/>
  <c r="F46" i="12"/>
  <c r="F44" i="12"/>
  <c r="F42" i="12"/>
  <c r="F40" i="12"/>
  <c r="F38" i="12"/>
  <c r="F36" i="12"/>
  <c r="F34" i="12"/>
  <c r="S64" i="12"/>
  <c r="S56" i="12"/>
  <c r="S48" i="12"/>
  <c r="S40" i="12"/>
  <c r="S32" i="12"/>
  <c r="S24" i="12"/>
  <c r="S16" i="12"/>
  <c r="S8" i="12"/>
  <c r="W63" i="12"/>
  <c r="W59" i="12"/>
  <c r="W55" i="12"/>
  <c r="W51" i="12"/>
  <c r="W47" i="12"/>
  <c r="W43" i="12"/>
  <c r="W39" i="12"/>
  <c r="W35" i="12"/>
  <c r="W31" i="12"/>
  <c r="W27" i="12"/>
  <c r="W23" i="12"/>
  <c r="V19" i="12"/>
  <c r="V11" i="12"/>
  <c r="F31" i="12"/>
  <c r="F28" i="12"/>
  <c r="D63" i="12"/>
  <c r="D60" i="12"/>
  <c r="D56" i="12"/>
  <c r="D52" i="12"/>
  <c r="D48" i="12"/>
  <c r="D44" i="12"/>
  <c r="D40" i="12"/>
  <c r="D36" i="12"/>
  <c r="D32" i="12"/>
  <c r="D28" i="12"/>
  <c r="D24" i="12"/>
  <c r="D20" i="12"/>
  <c r="D16" i="12"/>
  <c r="D12" i="12"/>
  <c r="D8" i="12"/>
  <c r="B64" i="12"/>
  <c r="B60" i="12"/>
  <c r="B56" i="12"/>
  <c r="B52" i="12"/>
  <c r="B48" i="12"/>
  <c r="B44" i="12"/>
  <c r="B40" i="12"/>
  <c r="B36" i="12"/>
  <c r="B32" i="12"/>
  <c r="B28" i="12"/>
  <c r="B24" i="12"/>
  <c r="B20" i="12"/>
  <c r="B16" i="12"/>
  <c r="B12" i="12"/>
  <c r="B8" i="12"/>
  <c r="D22" i="12"/>
  <c r="S61" i="12"/>
  <c r="S53" i="12"/>
  <c r="S45" i="12"/>
  <c r="S37" i="12"/>
  <c r="S29" i="12"/>
  <c r="S21" i="12"/>
  <c r="S13" i="12"/>
  <c r="S5" i="12"/>
  <c r="V61" i="12"/>
  <c r="V57" i="12"/>
  <c r="V53" i="12"/>
  <c r="H53" i="12" s="1"/>
  <c r="V49" i="12"/>
  <c r="V45" i="12"/>
  <c r="V41" i="12"/>
  <c r="V37" i="12"/>
  <c r="H37" i="12" s="1"/>
  <c r="V33" i="12"/>
  <c r="V29" i="12"/>
  <c r="V25" i="12"/>
  <c r="V21" i="12"/>
  <c r="H21" i="12" s="1"/>
  <c r="V13" i="12"/>
  <c r="V5" i="12"/>
  <c r="F61" i="12"/>
  <c r="F57" i="12"/>
  <c r="F53" i="12"/>
  <c r="F49" i="12"/>
  <c r="F45" i="12"/>
  <c r="F41" i="12"/>
  <c r="F37" i="12"/>
  <c r="F33" i="12"/>
  <c r="F30" i="12"/>
  <c r="F25" i="12"/>
  <c r="F23" i="12"/>
  <c r="F21" i="12"/>
  <c r="F19" i="12"/>
  <c r="F17" i="12"/>
  <c r="F15" i="12"/>
  <c r="F13" i="12"/>
  <c r="F11" i="12"/>
  <c r="F9" i="12"/>
  <c r="F7" i="12"/>
  <c r="F5" i="12"/>
  <c r="D59" i="12"/>
  <c r="D55" i="12"/>
  <c r="D51" i="12"/>
  <c r="D47" i="12"/>
  <c r="D43" i="12"/>
  <c r="D39" i="12"/>
  <c r="D35" i="12"/>
  <c r="D31" i="12"/>
  <c r="D27" i="12"/>
  <c r="D23" i="12"/>
  <c r="D19" i="12"/>
  <c r="D15" i="12"/>
  <c r="D11" i="12"/>
  <c r="D7" i="12"/>
  <c r="B63" i="12"/>
  <c r="B59" i="12"/>
  <c r="B55" i="12"/>
  <c r="B51" i="12"/>
  <c r="B47" i="12"/>
  <c r="B43" i="12"/>
  <c r="B39" i="12"/>
  <c r="B35" i="12"/>
  <c r="B31" i="12"/>
  <c r="B27" i="12"/>
  <c r="B23" i="12"/>
  <c r="B19" i="12"/>
  <c r="B15" i="12"/>
  <c r="B11" i="12"/>
  <c r="B7" i="12"/>
  <c r="D26" i="12"/>
  <c r="S60" i="12"/>
  <c r="S52" i="12"/>
  <c r="S44" i="12"/>
  <c r="S36" i="12"/>
  <c r="S28" i="12"/>
  <c r="S20" i="12"/>
  <c r="S12" i="12"/>
  <c r="W62" i="12"/>
  <c r="W58" i="12"/>
  <c r="W54" i="12"/>
  <c r="W50" i="12"/>
  <c r="W46" i="12"/>
  <c r="W42" i="12"/>
  <c r="W38" i="12"/>
  <c r="W34" i="12"/>
  <c r="W30" i="12"/>
  <c r="W26" i="12"/>
  <c r="W22" i="12"/>
  <c r="V15" i="12"/>
  <c r="H15" i="12" s="1"/>
  <c r="V7" i="12"/>
  <c r="H7" i="12" s="1"/>
  <c r="F32" i="12"/>
  <c r="F27" i="12"/>
  <c r="D64" i="12"/>
  <c r="D62" i="12"/>
  <c r="D58" i="12"/>
  <c r="D54" i="12"/>
  <c r="D50" i="12"/>
  <c r="D46" i="12"/>
  <c r="D42" i="12"/>
  <c r="D38" i="12"/>
  <c r="D34" i="12"/>
  <c r="D30" i="12"/>
  <c r="D18" i="12"/>
  <c r="D14" i="12"/>
  <c r="S57" i="12"/>
  <c r="S25" i="12"/>
  <c r="V54" i="12"/>
  <c r="V38" i="12"/>
  <c r="V22" i="12"/>
  <c r="F63" i="12"/>
  <c r="F47" i="12"/>
  <c r="F22" i="12"/>
  <c r="F14" i="12"/>
  <c r="F6" i="12"/>
  <c r="D53" i="12"/>
  <c r="D37" i="12"/>
  <c r="D21" i="12"/>
  <c r="D9" i="12"/>
  <c r="B61" i="12"/>
  <c r="B53" i="12"/>
  <c r="B45" i="12"/>
  <c r="B37" i="12"/>
  <c r="B29" i="12"/>
  <c r="B21" i="12"/>
  <c r="B13" i="12"/>
  <c r="B5" i="12"/>
  <c r="F24" i="12"/>
  <c r="D57" i="12"/>
  <c r="D25" i="12"/>
  <c r="B62" i="12"/>
  <c r="B22" i="12"/>
  <c r="S49" i="12"/>
  <c r="S17" i="12"/>
  <c r="V50" i="12"/>
  <c r="V34" i="12"/>
  <c r="H34" i="12" s="1"/>
  <c r="F59" i="12"/>
  <c r="F43" i="12"/>
  <c r="F29" i="12"/>
  <c r="F20" i="12"/>
  <c r="F12" i="12"/>
  <c r="D49" i="12"/>
  <c r="D33" i="12"/>
  <c r="D17" i="12"/>
  <c r="D6" i="12"/>
  <c r="B58" i="12"/>
  <c r="B50" i="12"/>
  <c r="B42" i="12"/>
  <c r="B34" i="12"/>
  <c r="B26" i="12"/>
  <c r="B18" i="12"/>
  <c r="B10" i="12"/>
  <c r="F55" i="12"/>
  <c r="F18" i="12"/>
  <c r="D61" i="12"/>
  <c r="D29" i="12"/>
  <c r="D5" i="12"/>
  <c r="B49" i="12"/>
  <c r="B33" i="12"/>
  <c r="B17" i="12"/>
  <c r="S33" i="12"/>
  <c r="V26" i="12"/>
  <c r="H26" i="12" s="1"/>
  <c r="V9" i="12"/>
  <c r="H9" i="12" s="1"/>
  <c r="F51" i="12"/>
  <c r="F8" i="12"/>
  <c r="B54" i="12"/>
  <c r="B46" i="12"/>
  <c r="B30" i="12"/>
  <c r="B6" i="12"/>
  <c r="S41" i="12"/>
  <c r="S9" i="12"/>
  <c r="V62" i="12"/>
  <c r="V46" i="12"/>
  <c r="H46" i="12" s="1"/>
  <c r="V30" i="12"/>
  <c r="V17" i="12"/>
  <c r="H17" i="12" s="1"/>
  <c r="F39" i="12"/>
  <c r="F26" i="12"/>
  <c r="F10" i="12"/>
  <c r="D45" i="12"/>
  <c r="D13" i="12"/>
  <c r="B57" i="12"/>
  <c r="B41" i="12"/>
  <c r="B25" i="12"/>
  <c r="B9" i="12"/>
  <c r="V58" i="12"/>
  <c r="V42" i="12"/>
  <c r="H42" i="12" s="1"/>
  <c r="F35" i="12"/>
  <c r="F16" i="12"/>
  <c r="D41" i="12"/>
  <c r="D10" i="12"/>
  <c r="B38" i="12"/>
  <c r="B14" i="12"/>
  <c r="V116" i="12"/>
  <c r="V112" i="12"/>
  <c r="V108" i="12"/>
  <c r="V104" i="12"/>
  <c r="V100" i="12"/>
  <c r="V96" i="12"/>
  <c r="V92" i="12"/>
  <c r="V88" i="12"/>
  <c r="V84" i="12"/>
  <c r="V80" i="12"/>
  <c r="V76" i="12"/>
  <c r="V72" i="12"/>
  <c r="V68" i="12"/>
  <c r="F118" i="12"/>
  <c r="F114" i="12"/>
  <c r="F110" i="12"/>
  <c r="F106" i="12"/>
  <c r="F102" i="12"/>
  <c r="F98" i="12"/>
  <c r="F94" i="12"/>
  <c r="F90" i="12"/>
  <c r="F86" i="12"/>
  <c r="F82" i="12"/>
  <c r="F78" i="12"/>
  <c r="F74" i="12"/>
  <c r="F70" i="12"/>
  <c r="F66" i="12"/>
  <c r="D65" i="12"/>
  <c r="B115" i="12"/>
  <c r="B111" i="12"/>
  <c r="B107" i="12"/>
  <c r="B103" i="12"/>
  <c r="B99" i="12"/>
  <c r="B95" i="12"/>
  <c r="B91" i="12"/>
  <c r="B87" i="12"/>
  <c r="B83" i="12"/>
  <c r="B79" i="12"/>
  <c r="B75" i="12"/>
  <c r="B71" i="12"/>
  <c r="B67" i="12"/>
  <c r="BA118" i="12"/>
  <c r="BA116" i="12"/>
  <c r="BA114" i="12"/>
  <c r="BA112" i="12"/>
  <c r="BA110" i="12"/>
  <c r="BA108" i="12"/>
  <c r="BA106" i="12"/>
  <c r="BA104" i="12"/>
  <c r="BA102" i="12"/>
  <c r="BA100" i="12"/>
  <c r="BA98" i="12"/>
  <c r="BA96" i="12"/>
  <c r="BA94" i="12"/>
  <c r="BA92" i="12"/>
  <c r="BA90" i="12"/>
  <c r="BA88" i="12"/>
  <c r="BA86" i="12"/>
  <c r="BA84" i="12"/>
  <c r="BA82" i="12"/>
  <c r="BA80" i="12"/>
  <c r="BA78" i="12"/>
  <c r="BA76" i="12"/>
  <c r="BA74" i="12"/>
  <c r="BA72" i="12"/>
  <c r="BA69" i="12"/>
  <c r="BA67" i="12"/>
  <c r="W117" i="12"/>
  <c r="W113" i="12"/>
  <c r="W109" i="12"/>
  <c r="W105" i="12"/>
  <c r="W101" i="12"/>
  <c r="W97" i="12"/>
  <c r="W93" i="12"/>
  <c r="W89" i="12"/>
  <c r="W85" i="12"/>
  <c r="W81" i="12"/>
  <c r="W77" i="12"/>
  <c r="W73" i="12"/>
  <c r="W69" i="12"/>
  <c r="W65" i="12"/>
  <c r="S115" i="12"/>
  <c r="S111" i="12"/>
  <c r="S107" i="12"/>
  <c r="S103" i="12"/>
  <c r="V115" i="12"/>
  <c r="V111" i="12"/>
  <c r="V107" i="12"/>
  <c r="V103" i="12"/>
  <c r="V99" i="12"/>
  <c r="V95" i="12"/>
  <c r="V91" i="12"/>
  <c r="V87" i="12"/>
  <c r="V83" i="12"/>
  <c r="V79" i="12"/>
  <c r="V75" i="12"/>
  <c r="V71" i="12"/>
  <c r="V67" i="12"/>
  <c r="F117" i="12"/>
  <c r="F113" i="12"/>
  <c r="F109" i="12"/>
  <c r="F105" i="12"/>
  <c r="F101" i="12"/>
  <c r="F97" i="12"/>
  <c r="F93" i="12"/>
  <c r="F89" i="12"/>
  <c r="F85" i="12"/>
  <c r="F81" i="12"/>
  <c r="F77" i="12"/>
  <c r="F73" i="12"/>
  <c r="F69" i="12"/>
  <c r="F65" i="12"/>
  <c r="B118" i="12"/>
  <c r="B114" i="12"/>
  <c r="B110" i="12"/>
  <c r="B106" i="12"/>
  <c r="B102" i="12"/>
  <c r="B98" i="12"/>
  <c r="B94" i="12"/>
  <c r="B90" i="12"/>
  <c r="B86" i="12"/>
  <c r="B82" i="12"/>
  <c r="B78" i="12"/>
  <c r="B74" i="12"/>
  <c r="B70" i="12"/>
  <c r="B66" i="12"/>
  <c r="BD117" i="12"/>
  <c r="BD115" i="12"/>
  <c r="BD113" i="12"/>
  <c r="BD111" i="12"/>
  <c r="BD109" i="12"/>
  <c r="BD107" i="12"/>
  <c r="BD105" i="12"/>
  <c r="BD103" i="12"/>
  <c r="BD101" i="12"/>
  <c r="BD99" i="12"/>
  <c r="BD97" i="12"/>
  <c r="BD95" i="12"/>
  <c r="BD93" i="12"/>
  <c r="BD91" i="12"/>
  <c r="BD89" i="12"/>
  <c r="BD87" i="12"/>
  <c r="BD85" i="12"/>
  <c r="BD83" i="12"/>
  <c r="BD81" i="12"/>
  <c r="BD79" i="12"/>
  <c r="BD77" i="12"/>
  <c r="BD75" i="12"/>
  <c r="BD73" i="12"/>
  <c r="BD71" i="12"/>
  <c r="BD68" i="12"/>
  <c r="W116" i="12"/>
  <c r="W112" i="12"/>
  <c r="W108" i="12"/>
  <c r="W104" i="12"/>
  <c r="W100" i="12"/>
  <c r="W96" i="12"/>
  <c r="W92" i="12"/>
  <c r="W88" i="12"/>
  <c r="W84" i="12"/>
  <c r="W80" i="12"/>
  <c r="W76" i="12"/>
  <c r="W72" i="12"/>
  <c r="W68" i="12"/>
  <c r="S118" i="12"/>
  <c r="S114" i="12"/>
  <c r="S110" i="12"/>
  <c r="S106" i="12"/>
  <c r="S102" i="12"/>
  <c r="V118" i="12"/>
  <c r="V114" i="12"/>
  <c r="V110" i="12"/>
  <c r="V106" i="12"/>
  <c r="V102" i="12"/>
  <c r="V98" i="12"/>
  <c r="V94" i="12"/>
  <c r="V90" i="12"/>
  <c r="V86" i="12"/>
  <c r="V82" i="12"/>
  <c r="V78" i="12"/>
  <c r="V74" i="12"/>
  <c r="V70" i="12"/>
  <c r="V66" i="12"/>
  <c r="F116" i="12"/>
  <c r="F112" i="12"/>
  <c r="F108" i="12"/>
  <c r="F104" i="12"/>
  <c r="F100" i="12"/>
  <c r="F96" i="12"/>
  <c r="F92" i="12"/>
  <c r="F88" i="12"/>
  <c r="F84" i="12"/>
  <c r="F80" i="12"/>
  <c r="F76" i="12"/>
  <c r="F72" i="12"/>
  <c r="F68" i="12"/>
  <c r="D67" i="12"/>
  <c r="B117" i="12"/>
  <c r="B113" i="12"/>
  <c r="B109" i="12"/>
  <c r="B105" i="12"/>
  <c r="B101" i="12"/>
  <c r="B97" i="12"/>
  <c r="B93" i="12"/>
  <c r="B89" i="12"/>
  <c r="B85" i="12"/>
  <c r="B81" i="12"/>
  <c r="B77" i="12"/>
  <c r="B73" i="12"/>
  <c r="B69" i="12"/>
  <c r="B65" i="12"/>
  <c r="BA117" i="12"/>
  <c r="BA115" i="12"/>
  <c r="BA113" i="12"/>
  <c r="BA111" i="12"/>
  <c r="BA109" i="12"/>
  <c r="BA107" i="12"/>
  <c r="BA105" i="12"/>
  <c r="BA103" i="12"/>
  <c r="BA101" i="12"/>
  <c r="BA99" i="12"/>
  <c r="BA97" i="12"/>
  <c r="BA95" i="12"/>
  <c r="BA93" i="12"/>
  <c r="BA91" i="12"/>
  <c r="BA89" i="12"/>
  <c r="BA87" i="12"/>
  <c r="BA85" i="12"/>
  <c r="BA83" i="12"/>
  <c r="BA81" i="12"/>
  <c r="BA79" i="12"/>
  <c r="BA77" i="12"/>
  <c r="BA75" i="12"/>
  <c r="BA73" i="12"/>
  <c r="BA71" i="12"/>
  <c r="BA68" i="12"/>
  <c r="W115" i="12"/>
  <c r="W111" i="12"/>
  <c r="W107" i="12"/>
  <c r="W103" i="12"/>
  <c r="W99" i="12"/>
  <c r="W95" i="12"/>
  <c r="W91" i="12"/>
  <c r="W87" i="12"/>
  <c r="W83" i="12"/>
  <c r="W79" i="12"/>
  <c r="W75" i="12"/>
  <c r="W71" i="12"/>
  <c r="W67" i="12"/>
  <c r="V109" i="12"/>
  <c r="V93" i="12"/>
  <c r="V77" i="12"/>
  <c r="F115" i="12"/>
  <c r="F99" i="12"/>
  <c r="F83" i="12"/>
  <c r="F67" i="12"/>
  <c r="B108" i="12"/>
  <c r="B92" i="12"/>
  <c r="B76" i="12"/>
  <c r="BD116" i="12"/>
  <c r="BD108" i="12"/>
  <c r="BD100" i="12"/>
  <c r="BD92" i="12"/>
  <c r="BD84" i="12"/>
  <c r="BD76" i="12"/>
  <c r="BD67" i="12"/>
  <c r="BG67" i="12" s="1"/>
  <c r="W114" i="12"/>
  <c r="W98" i="12"/>
  <c r="W82" i="12"/>
  <c r="W66" i="12"/>
  <c r="S112" i="12"/>
  <c r="S104" i="12"/>
  <c r="S98" i="12"/>
  <c r="S94" i="12"/>
  <c r="S90" i="12"/>
  <c r="S86" i="12"/>
  <c r="S82" i="12"/>
  <c r="S78" i="12"/>
  <c r="S74" i="12"/>
  <c r="S70" i="12"/>
  <c r="S66" i="12"/>
  <c r="V113" i="12"/>
  <c r="F103" i="12"/>
  <c r="F87" i="12"/>
  <c r="B112" i="12"/>
  <c r="B80" i="12"/>
  <c r="BD110" i="12"/>
  <c r="BD94" i="12"/>
  <c r="BD78" i="12"/>
  <c r="W102" i="12"/>
  <c r="S99" i="12"/>
  <c r="S91" i="12"/>
  <c r="S83" i="12"/>
  <c r="S75" i="12"/>
  <c r="S67" i="12"/>
  <c r="V105" i="12"/>
  <c r="V89" i="12"/>
  <c r="V73" i="12"/>
  <c r="F111" i="12"/>
  <c r="F95" i="12"/>
  <c r="F79" i="12"/>
  <c r="D66" i="12"/>
  <c r="B104" i="12"/>
  <c r="B88" i="12"/>
  <c r="B72" i="12"/>
  <c r="BD114" i="12"/>
  <c r="BD106" i="12"/>
  <c r="BD98" i="12"/>
  <c r="BD90" i="12"/>
  <c r="BD82" i="12"/>
  <c r="BD74" i="12"/>
  <c r="W110" i="12"/>
  <c r="W94" i="12"/>
  <c r="W78" i="12"/>
  <c r="S117" i="12"/>
  <c r="S109" i="12"/>
  <c r="S101" i="12"/>
  <c r="S97" i="12"/>
  <c r="S93" i="12"/>
  <c r="S89" i="12"/>
  <c r="S85" i="12"/>
  <c r="S81" i="12"/>
  <c r="S77" i="12"/>
  <c r="S73" i="12"/>
  <c r="S69" i="12"/>
  <c r="S65" i="12"/>
  <c r="V81" i="12"/>
  <c r="V117" i="12"/>
  <c r="V101" i="12"/>
  <c r="V85" i="12"/>
  <c r="V69" i="12"/>
  <c r="F107" i="12"/>
  <c r="F91" i="12"/>
  <c r="F75" i="12"/>
  <c r="B116" i="12"/>
  <c r="B100" i="12"/>
  <c r="B84" i="12"/>
  <c r="B68" i="12"/>
  <c r="BD112" i="12"/>
  <c r="BD104" i="12"/>
  <c r="BD96" i="12"/>
  <c r="BD88" i="12"/>
  <c r="BD80" i="12"/>
  <c r="BD72" i="12"/>
  <c r="W106" i="12"/>
  <c r="W90" i="12"/>
  <c r="W74" i="12"/>
  <c r="S116" i="12"/>
  <c r="S108" i="12"/>
  <c r="S100" i="12"/>
  <c r="S96" i="12"/>
  <c r="S92" i="12"/>
  <c r="S88" i="12"/>
  <c r="S84" i="12"/>
  <c r="S80" i="12"/>
  <c r="S76" i="12"/>
  <c r="S72" i="12"/>
  <c r="S68" i="12"/>
  <c r="V97" i="12"/>
  <c r="V65" i="12"/>
  <c r="F71" i="12"/>
  <c r="B96" i="12"/>
  <c r="BD118" i="12"/>
  <c r="BD102" i="12"/>
  <c r="BD86" i="12"/>
  <c r="BA70" i="12"/>
  <c r="W118" i="12"/>
  <c r="W86" i="12"/>
  <c r="W70" i="12"/>
  <c r="S113" i="12"/>
  <c r="S105" i="12"/>
  <c r="S95" i="12"/>
  <c r="S87" i="12"/>
  <c r="S79" i="12"/>
  <c r="S71" i="12"/>
  <c r="D69" i="12"/>
  <c r="D85" i="12"/>
  <c r="D101" i="12"/>
  <c r="D82" i="12"/>
  <c r="D98" i="12"/>
  <c r="D79" i="12"/>
  <c r="D95" i="12"/>
  <c r="D72" i="12"/>
  <c r="D88" i="12"/>
  <c r="D93" i="12"/>
  <c r="D74" i="12"/>
  <c r="D71" i="12"/>
  <c r="D103" i="12"/>
  <c r="D81" i="12"/>
  <c r="D94" i="12"/>
  <c r="D91" i="12"/>
  <c r="D68" i="12"/>
  <c r="D100" i="12"/>
  <c r="D73" i="12"/>
  <c r="D89" i="12"/>
  <c r="D70" i="12"/>
  <c r="D86" i="12"/>
  <c r="D102" i="12"/>
  <c r="D83" i="12"/>
  <c r="D99" i="12"/>
  <c r="D76" i="12"/>
  <c r="D92" i="12"/>
  <c r="D77" i="12"/>
  <c r="D90" i="12"/>
  <c r="D87" i="12"/>
  <c r="D80" i="12"/>
  <c r="D96" i="12"/>
  <c r="D97" i="12"/>
  <c r="D78" i="12"/>
  <c r="D75" i="12"/>
  <c r="D84" i="12"/>
  <c r="D108" i="12"/>
  <c r="D107" i="12"/>
  <c r="D110" i="12"/>
  <c r="D105" i="12"/>
  <c r="D106" i="12"/>
  <c r="D109" i="12"/>
  <c r="D104" i="12"/>
  <c r="D111" i="12"/>
  <c r="D112" i="12"/>
  <c r="D113" i="12"/>
  <c r="D114" i="12"/>
  <c r="D115" i="12"/>
  <c r="D116" i="12"/>
  <c r="D118" i="12"/>
  <c r="D117" i="12"/>
  <c r="BD70" i="12"/>
  <c r="BD69" i="12"/>
  <c r="H90" i="12"/>
  <c r="H50" i="12" l="1"/>
  <c r="H11" i="12"/>
  <c r="H19" i="12"/>
  <c r="H24" i="12"/>
  <c r="H32" i="12"/>
  <c r="H48" i="12"/>
  <c r="H56" i="12"/>
  <c r="H64" i="12"/>
  <c r="H20" i="12"/>
  <c r="H68" i="12"/>
  <c r="H30" i="12"/>
  <c r="H25" i="12"/>
  <c r="H41" i="12"/>
  <c r="H57" i="12"/>
  <c r="H6" i="12"/>
  <c r="H14" i="12"/>
  <c r="H35" i="12"/>
  <c r="H59" i="12"/>
  <c r="H65" i="12"/>
  <c r="H62" i="12"/>
  <c r="H33" i="12"/>
  <c r="H49" i="12"/>
  <c r="E61" i="12"/>
  <c r="G61" i="12"/>
  <c r="E33" i="12"/>
  <c r="G33" i="12"/>
  <c r="G46" i="12"/>
  <c r="E46" i="12"/>
  <c r="G26" i="12"/>
  <c r="E26" i="12"/>
  <c r="E7" i="12"/>
  <c r="G7" i="12"/>
  <c r="E25" i="12"/>
  <c r="G25" i="12"/>
  <c r="E21" i="12"/>
  <c r="G21" i="12"/>
  <c r="G64" i="12"/>
  <c r="E64" i="12"/>
  <c r="G27" i="12"/>
  <c r="E27" i="12"/>
  <c r="E16" i="12"/>
  <c r="G16" i="12"/>
  <c r="E63" i="12"/>
  <c r="G63" i="12"/>
  <c r="H27" i="12"/>
  <c r="H43" i="12"/>
  <c r="H51" i="12"/>
  <c r="G30" i="12"/>
  <c r="E30" i="12"/>
  <c r="E39" i="12"/>
  <c r="G39" i="12"/>
  <c r="G28" i="12"/>
  <c r="E28" i="12"/>
  <c r="G60" i="12"/>
  <c r="E60" i="12"/>
  <c r="G10" i="12"/>
  <c r="E10" i="12"/>
  <c r="E49" i="12"/>
  <c r="G49" i="12"/>
  <c r="H22" i="12"/>
  <c r="G50" i="12"/>
  <c r="E50" i="12"/>
  <c r="E43" i="12"/>
  <c r="G43" i="12"/>
  <c r="G48" i="12"/>
  <c r="E48" i="12"/>
  <c r="E41" i="12"/>
  <c r="G41" i="12"/>
  <c r="H58" i="12"/>
  <c r="G5" i="12"/>
  <c r="E6" i="12"/>
  <c r="G6" i="12"/>
  <c r="E57" i="12"/>
  <c r="G57" i="12"/>
  <c r="E37" i="12"/>
  <c r="G37" i="12"/>
  <c r="H38" i="12"/>
  <c r="E14" i="12"/>
  <c r="G14" i="12"/>
  <c r="G38" i="12"/>
  <c r="E38" i="12"/>
  <c r="G54" i="12"/>
  <c r="E54" i="12"/>
  <c r="E15" i="12"/>
  <c r="G15" i="12"/>
  <c r="E31" i="12"/>
  <c r="G31" i="12"/>
  <c r="E47" i="12"/>
  <c r="G47" i="12"/>
  <c r="H29" i="12"/>
  <c r="H45" i="12"/>
  <c r="H61" i="12"/>
  <c r="E20" i="12"/>
  <c r="G20" i="12"/>
  <c r="G36" i="12"/>
  <c r="E36" i="12"/>
  <c r="G52" i="12"/>
  <c r="E52" i="12"/>
  <c r="H8" i="12"/>
  <c r="H16" i="12"/>
  <c r="E45" i="12"/>
  <c r="G45" i="12"/>
  <c r="E9" i="12"/>
  <c r="G9" i="12"/>
  <c r="G62" i="12"/>
  <c r="E62" i="12"/>
  <c r="E23" i="12"/>
  <c r="G23" i="12"/>
  <c r="E55" i="12"/>
  <c r="G55" i="12"/>
  <c r="E12" i="12"/>
  <c r="G12" i="12"/>
  <c r="G44" i="12"/>
  <c r="E44" i="12"/>
  <c r="H12" i="12"/>
  <c r="G34" i="12"/>
  <c r="E34" i="12"/>
  <c r="G11" i="12"/>
  <c r="E11" i="12"/>
  <c r="E59" i="12"/>
  <c r="G59" i="12"/>
  <c r="G32" i="12"/>
  <c r="E32" i="12"/>
  <c r="H118" i="12"/>
  <c r="E65" i="12"/>
  <c r="E13" i="12"/>
  <c r="G13" i="12"/>
  <c r="E29" i="12"/>
  <c r="G29" i="12"/>
  <c r="E17" i="12"/>
  <c r="G17" i="12"/>
  <c r="E53" i="12"/>
  <c r="G53" i="12"/>
  <c r="H54" i="12"/>
  <c r="G18" i="12"/>
  <c r="E18" i="12"/>
  <c r="G42" i="12"/>
  <c r="E42" i="12"/>
  <c r="G58" i="12"/>
  <c r="E58" i="12"/>
  <c r="G19" i="12"/>
  <c r="E19" i="12"/>
  <c r="E35" i="12"/>
  <c r="G35" i="12"/>
  <c r="E51" i="12"/>
  <c r="G51" i="12"/>
  <c r="H13" i="12"/>
  <c r="E22" i="12"/>
  <c r="G22" i="12"/>
  <c r="E8" i="12"/>
  <c r="G8" i="12"/>
  <c r="E24" i="12"/>
  <c r="G24" i="12"/>
  <c r="G40" i="12"/>
  <c r="E40" i="12"/>
  <c r="G56" i="12"/>
  <c r="E56" i="12"/>
  <c r="H10" i="12"/>
  <c r="H18" i="12"/>
  <c r="H23" i="12"/>
  <c r="H31" i="12"/>
  <c r="H40" i="12"/>
  <c r="H39" i="12"/>
  <c r="H47" i="12"/>
  <c r="H55" i="12"/>
  <c r="H63" i="12"/>
  <c r="H79" i="12"/>
  <c r="H105" i="12"/>
  <c r="H89" i="12"/>
  <c r="H73" i="12"/>
  <c r="H67" i="12"/>
  <c r="H70" i="12"/>
  <c r="H95" i="12"/>
  <c r="H117" i="12"/>
  <c r="H101" i="12"/>
  <c r="H85" i="12"/>
  <c r="H115" i="12"/>
  <c r="H78" i="12"/>
  <c r="H110" i="12"/>
  <c r="H87" i="12"/>
  <c r="H112" i="12"/>
  <c r="H96" i="12"/>
  <c r="H94" i="12"/>
  <c r="H102" i="12"/>
  <c r="H104" i="12"/>
  <c r="H72" i="12"/>
  <c r="H113" i="12"/>
  <c r="H97" i="12"/>
  <c r="H81" i="12"/>
  <c r="H111" i="12"/>
  <c r="H74" i="12"/>
  <c r="H91" i="12"/>
  <c r="H88" i="12"/>
  <c r="H66" i="12"/>
  <c r="H98" i="12"/>
  <c r="H83" i="12"/>
  <c r="H86" i="12"/>
  <c r="H109" i="12"/>
  <c r="H93" i="12"/>
  <c r="H77" i="12"/>
  <c r="H99" i="12"/>
  <c r="H114" i="12"/>
  <c r="H116" i="12"/>
  <c r="H100" i="12"/>
  <c r="H84" i="12"/>
  <c r="H106" i="12"/>
  <c r="H80" i="12"/>
  <c r="H82" i="12"/>
  <c r="H103" i="12"/>
  <c r="H71" i="12"/>
  <c r="H69" i="12"/>
  <c r="H75" i="12"/>
  <c r="H107" i="12"/>
  <c r="H108" i="12"/>
  <c r="H92" i="12"/>
  <c r="H76" i="12"/>
  <c r="AD70" i="12" l="1"/>
  <c r="AD71" i="12" s="1"/>
  <c r="AD72" i="12" s="1"/>
  <c r="AD73" i="12" s="1"/>
  <c r="AD74" i="12" s="1"/>
  <c r="AD75" i="12" s="1"/>
  <c r="AD76" i="12" s="1"/>
  <c r="AD77" i="12" s="1"/>
  <c r="AD78" i="12" s="1"/>
  <c r="AD79" i="12" s="1"/>
  <c r="AD80" i="12" s="1"/>
  <c r="AD81" i="12" s="1"/>
  <c r="AD82" i="12" s="1"/>
  <c r="AD83" i="12" s="1"/>
  <c r="AD84" i="12" s="1"/>
  <c r="AD85" i="12" s="1"/>
  <c r="AD86" i="12" s="1"/>
  <c r="AD87" i="12" s="1"/>
  <c r="AD88" i="12" s="1"/>
  <c r="AD89" i="12" s="1"/>
  <c r="AD90" i="12" s="1"/>
  <c r="AD91" i="12" s="1"/>
  <c r="AD92" i="12" s="1"/>
  <c r="AD93" i="12" s="1"/>
  <c r="AD94" i="12" s="1"/>
  <c r="AD95" i="12" s="1"/>
  <c r="AD96" i="12" s="1"/>
  <c r="AD97" i="12" s="1"/>
  <c r="AD98" i="12" s="1"/>
  <c r="AD99" i="12" s="1"/>
  <c r="AD100" i="12" s="1"/>
  <c r="AD101" i="12" s="1"/>
  <c r="AD102" i="12" s="1"/>
  <c r="AD103" i="12" s="1"/>
  <c r="AD104" i="12" s="1"/>
  <c r="AD105" i="12" s="1"/>
  <c r="AD106" i="12" s="1"/>
  <c r="AD107" i="12" s="1"/>
  <c r="AD108" i="12" s="1"/>
  <c r="AD109" i="12" s="1"/>
  <c r="AD110" i="12" s="1"/>
  <c r="AD111" i="12" s="1"/>
  <c r="AD112" i="12" s="1"/>
  <c r="AD113" i="12" s="1"/>
  <c r="AD114" i="12" s="1"/>
  <c r="AD115" i="12" s="1"/>
  <c r="AD116" i="12" s="1"/>
  <c r="AD117" i="12" s="1"/>
  <c r="AD118" i="12" s="1"/>
  <c r="AD119" i="12" s="1"/>
  <c r="AD120" i="12" s="1"/>
  <c r="AD121" i="12" s="1"/>
  <c r="AD122" i="12" s="1"/>
  <c r="AD123" i="12" s="1"/>
  <c r="AD124" i="12" s="1"/>
  <c r="AD125" i="12" s="1"/>
  <c r="AD126" i="12" s="1"/>
  <c r="AD127" i="12" s="1"/>
  <c r="AD128" i="12" s="1"/>
  <c r="AD129" i="12" s="1"/>
  <c r="AD130" i="12" s="1"/>
  <c r="AD131" i="12" s="1"/>
  <c r="AD132" i="12" s="1"/>
  <c r="AD133" i="12" s="1"/>
  <c r="AD134" i="12" s="1"/>
  <c r="AD135" i="12" s="1"/>
  <c r="AD136" i="12" s="1"/>
  <c r="AD137" i="12" s="1"/>
  <c r="AD138" i="12" s="1"/>
  <c r="AD139" i="12" s="1"/>
  <c r="AD140" i="12" s="1"/>
  <c r="AD141" i="12" s="1"/>
  <c r="AD142" i="12" s="1"/>
  <c r="AD143" i="12" s="1"/>
  <c r="AD144" i="12" s="1"/>
  <c r="AD145" i="12" s="1"/>
  <c r="AD146" i="12" s="1"/>
  <c r="AD147" i="12" s="1"/>
  <c r="AD148" i="12" s="1"/>
  <c r="AG70" i="12"/>
  <c r="AG71" i="12" s="1"/>
  <c r="AG72" i="12" s="1"/>
  <c r="AG73" i="12" s="1"/>
  <c r="AG74" i="12" s="1"/>
  <c r="AG75" i="12" s="1"/>
  <c r="AG76" i="12" s="1"/>
  <c r="AG77" i="12" s="1"/>
  <c r="AG78" i="12" s="1"/>
  <c r="AG79" i="12" s="1"/>
  <c r="AG80" i="12" s="1"/>
  <c r="AG81" i="12" s="1"/>
  <c r="AG82" i="12" s="1"/>
  <c r="AG83" i="12" s="1"/>
  <c r="AG84" i="12" s="1"/>
  <c r="AG85" i="12" s="1"/>
  <c r="AG86" i="12" s="1"/>
  <c r="AG87" i="12" s="1"/>
  <c r="AG88" i="12" s="1"/>
  <c r="AG89" i="12" s="1"/>
  <c r="AG90" i="12" s="1"/>
  <c r="AG91" i="12" s="1"/>
  <c r="AG92" i="12" s="1"/>
  <c r="AG93" i="12" s="1"/>
  <c r="AG94" i="12" s="1"/>
  <c r="AG95" i="12" s="1"/>
  <c r="AG96" i="12" s="1"/>
  <c r="AG97" i="12" s="1"/>
  <c r="AG98" i="12" s="1"/>
  <c r="AG99" i="12" s="1"/>
  <c r="AG100" i="12" s="1"/>
  <c r="AG101" i="12" s="1"/>
  <c r="AG102" i="12" s="1"/>
  <c r="AG103" i="12" s="1"/>
  <c r="AG104" i="12" s="1"/>
  <c r="AG105" i="12" s="1"/>
  <c r="AG106" i="12" s="1"/>
  <c r="AG107" i="12" s="1"/>
  <c r="AG108" i="12" s="1"/>
  <c r="AG109" i="12" s="1"/>
  <c r="AG110" i="12" s="1"/>
  <c r="AG111" i="12" s="1"/>
  <c r="AG112" i="12" s="1"/>
  <c r="AG113" i="12" s="1"/>
  <c r="AG114" i="12" s="1"/>
  <c r="AG115" i="12" s="1"/>
  <c r="AG116" i="12" s="1"/>
  <c r="AG117" i="12" s="1"/>
  <c r="AG118" i="12" s="1"/>
  <c r="AG119" i="12" s="1"/>
  <c r="AG120" i="12" s="1"/>
  <c r="AG121" i="12" s="1"/>
  <c r="AG122" i="12" s="1"/>
  <c r="AG123" i="12" s="1"/>
  <c r="AG124" i="12" s="1"/>
  <c r="AG125" i="12" s="1"/>
  <c r="AG126" i="12" s="1"/>
  <c r="AG127" i="12" s="1"/>
  <c r="AG128" i="12" s="1"/>
  <c r="AG129" i="12" s="1"/>
  <c r="AG130" i="12" s="1"/>
  <c r="AG131" i="12" s="1"/>
  <c r="AG132" i="12" s="1"/>
  <c r="AG133" i="12" s="1"/>
  <c r="AG134" i="12" s="1"/>
  <c r="AG135" i="12" s="1"/>
  <c r="AG136" i="12" s="1"/>
  <c r="AG137" i="12" s="1"/>
  <c r="AG138" i="12" s="1"/>
  <c r="AG139" i="12" s="1"/>
  <c r="AG140" i="12" s="1"/>
  <c r="AG141" i="12" s="1"/>
  <c r="AG142" i="12" s="1"/>
  <c r="AG143" i="12" s="1"/>
  <c r="AG144" i="12" s="1"/>
  <c r="AG145" i="12" s="1"/>
  <c r="AG146" i="12" s="1"/>
  <c r="AG147" i="12" s="1"/>
  <c r="AG148" i="12" s="1"/>
  <c r="CO66" i="12" l="1"/>
  <c r="CO67" i="12" s="1"/>
  <c r="CO68" i="12" s="1"/>
  <c r="CL66" i="12"/>
  <c r="CL68" i="12" s="1"/>
  <c r="CL69" i="12" s="1"/>
  <c r="CL70" i="12" s="1"/>
  <c r="CL71" i="12" s="1"/>
  <c r="CL72" i="12" s="1"/>
  <c r="CL73" i="12" s="1"/>
  <c r="CL74" i="12" s="1"/>
  <c r="CL75" i="12" s="1"/>
  <c r="CL76" i="12" s="1"/>
  <c r="CL77" i="12" s="1"/>
  <c r="CL78" i="12" s="1"/>
  <c r="CL79" i="12" s="1"/>
  <c r="CL80" i="12" s="1"/>
  <c r="CL81" i="12" s="1"/>
  <c r="CL82" i="12" s="1"/>
  <c r="CL83" i="12" s="1"/>
  <c r="CL84" i="12" s="1"/>
  <c r="CL85" i="12" s="1"/>
  <c r="CL86" i="12" s="1"/>
  <c r="CL87" i="12" s="1"/>
  <c r="CL88" i="12" s="1"/>
  <c r="CL89" i="12" s="1"/>
  <c r="CL90" i="12" s="1"/>
  <c r="CL91" i="12" s="1"/>
  <c r="CL92" i="12" s="1"/>
  <c r="CL93" i="12" s="1"/>
  <c r="CL94" i="12" s="1"/>
  <c r="CL95" i="12" s="1"/>
  <c r="CL96" i="12" s="1"/>
  <c r="CL97" i="12" s="1"/>
  <c r="CL98" i="12" s="1"/>
  <c r="CL99" i="12" s="1"/>
  <c r="CL100" i="12" s="1"/>
  <c r="CL101" i="12" s="1"/>
  <c r="CL102" i="12" s="1"/>
  <c r="CL103" i="12" s="1"/>
  <c r="CL104" i="12" s="1"/>
  <c r="CL105" i="12" s="1"/>
  <c r="CL106" i="12" s="1"/>
  <c r="CL107" i="12" s="1"/>
  <c r="CL108" i="12" s="1"/>
  <c r="CL109" i="12" s="1"/>
  <c r="CL110" i="12" s="1"/>
  <c r="CL111" i="12" s="1"/>
  <c r="CL112" i="12" s="1"/>
  <c r="CL113" i="12" s="1"/>
  <c r="CL114" i="12" s="1"/>
  <c r="CL115" i="12" s="1"/>
  <c r="CL116" i="12" s="1"/>
  <c r="CL117" i="12" s="1"/>
  <c r="CL118" i="12" s="1"/>
  <c r="CL119" i="12" s="1"/>
  <c r="CL120" i="12" s="1"/>
  <c r="CL121" i="12" s="1"/>
  <c r="CL122" i="12" s="1"/>
  <c r="CL123" i="12" s="1"/>
  <c r="CL124" i="12" s="1"/>
  <c r="CL125" i="12" s="1"/>
  <c r="CL126" i="12" s="1"/>
  <c r="CL127" i="12" s="1"/>
  <c r="CL128" i="12" s="1"/>
  <c r="CL129" i="12" s="1"/>
  <c r="CL130" i="12" s="1"/>
  <c r="CL131" i="12" s="1"/>
  <c r="CL132" i="12" s="1"/>
  <c r="CL133" i="12" s="1"/>
  <c r="CL134" i="12" s="1"/>
  <c r="CL135" i="12" s="1"/>
  <c r="CL136" i="12" s="1"/>
  <c r="CL137" i="12" s="1"/>
  <c r="CL138" i="12" s="1"/>
  <c r="CL139" i="12" s="1"/>
  <c r="CL140" i="12" s="1"/>
  <c r="CL141" i="12" s="1"/>
  <c r="CL142" i="12" s="1"/>
  <c r="CL143" i="12" s="1"/>
  <c r="CL144" i="12" s="1"/>
  <c r="CL145" i="12" s="1"/>
  <c r="CL146" i="12" s="1"/>
  <c r="CL147" i="12" s="1"/>
  <c r="CL148" i="12" s="1"/>
  <c r="CJ66" i="12"/>
  <c r="CJ67" i="12"/>
  <c r="CJ68" i="12" s="1"/>
  <c r="CJ69" i="12" s="1"/>
  <c r="CJ70" i="12" s="1"/>
  <c r="CJ71" i="12" s="1"/>
  <c r="CJ72" i="12" s="1"/>
  <c r="CJ73" i="12" s="1"/>
  <c r="CJ74" i="12" s="1"/>
  <c r="CJ75" i="12" s="1"/>
  <c r="CJ76" i="12" s="1"/>
  <c r="CJ77" i="12" s="1"/>
  <c r="CJ78" i="12" s="1"/>
  <c r="CJ79" i="12" s="1"/>
  <c r="CJ80" i="12" s="1"/>
  <c r="CJ81" i="12" s="1"/>
  <c r="CJ82" i="12" s="1"/>
  <c r="CJ83" i="12" s="1"/>
  <c r="CJ84" i="12" s="1"/>
  <c r="CJ85" i="12" s="1"/>
  <c r="CJ86" i="12" s="1"/>
  <c r="CJ87" i="12" s="1"/>
  <c r="CJ88" i="12" s="1"/>
  <c r="CJ89" i="12" s="1"/>
  <c r="CJ90" i="12" s="1"/>
  <c r="CJ91" i="12" s="1"/>
  <c r="CJ92" i="12" s="1"/>
  <c r="CJ93" i="12" s="1"/>
  <c r="CJ94" i="12" s="1"/>
  <c r="CJ95" i="12" s="1"/>
  <c r="CJ96" i="12" s="1"/>
  <c r="CJ97" i="12" s="1"/>
  <c r="CJ98" i="12" s="1"/>
  <c r="CJ99" i="12" s="1"/>
  <c r="CJ100" i="12" s="1"/>
  <c r="CJ101" i="12" s="1"/>
  <c r="CJ102" i="12" s="1"/>
  <c r="CJ103" i="12" s="1"/>
  <c r="CJ104" i="12" s="1"/>
  <c r="CJ105" i="12" s="1"/>
  <c r="CJ106" i="12" s="1"/>
  <c r="CJ107" i="12" s="1"/>
  <c r="CJ108" i="12" s="1"/>
  <c r="CJ109" i="12" s="1"/>
  <c r="CJ110" i="12" s="1"/>
  <c r="CJ111" i="12" s="1"/>
  <c r="CJ112" i="12" s="1"/>
  <c r="CJ113" i="12" s="1"/>
  <c r="CJ114" i="12" s="1"/>
  <c r="CJ115" i="12" s="1"/>
  <c r="CJ116" i="12" s="1"/>
  <c r="CJ117" i="12" s="1"/>
  <c r="CJ118" i="12" s="1"/>
  <c r="CJ119" i="12" s="1"/>
  <c r="CJ120" i="12" s="1"/>
  <c r="CJ121" i="12" s="1"/>
  <c r="CJ122" i="12" s="1"/>
  <c r="CJ123" i="12" s="1"/>
  <c r="CJ124" i="12" s="1"/>
  <c r="CJ125" i="12" s="1"/>
  <c r="CJ126" i="12" s="1"/>
  <c r="CJ127" i="12" s="1"/>
  <c r="CJ128" i="12" s="1"/>
  <c r="CJ129" i="12" s="1"/>
  <c r="CJ130" i="12" s="1"/>
  <c r="CJ131" i="12" s="1"/>
  <c r="CJ132" i="12" s="1"/>
  <c r="CJ133" i="12" s="1"/>
  <c r="CJ134" i="12" s="1"/>
  <c r="CJ135" i="12" s="1"/>
  <c r="CJ136" i="12" s="1"/>
  <c r="CJ137" i="12" s="1"/>
  <c r="CJ138" i="12" s="1"/>
  <c r="CJ139" i="12" s="1"/>
  <c r="CJ140" i="12" s="1"/>
  <c r="CJ141" i="12" s="1"/>
  <c r="CJ142" i="12" s="1"/>
  <c r="CJ143" i="12" s="1"/>
  <c r="CJ144" i="12" s="1"/>
  <c r="CJ145" i="12" s="1"/>
  <c r="CJ146" i="12" s="1"/>
  <c r="CJ147" i="12" s="1"/>
  <c r="CJ148" i="12" s="1"/>
  <c r="CI67" i="12"/>
  <c r="CI68" i="12" s="1"/>
  <c r="CI69" i="12" s="1"/>
  <c r="CI70" i="12" s="1"/>
  <c r="CI71" i="12" s="1"/>
  <c r="CI72" i="12" s="1"/>
  <c r="CI73" i="12" s="1"/>
  <c r="CI74" i="12" s="1"/>
  <c r="CI75" i="12" s="1"/>
  <c r="CI76" i="12" s="1"/>
  <c r="CI77" i="12" s="1"/>
  <c r="CI78" i="12" s="1"/>
  <c r="CI79" i="12" s="1"/>
  <c r="CI80" i="12" s="1"/>
  <c r="CI81" i="12" s="1"/>
  <c r="CI82" i="12" s="1"/>
  <c r="CI83" i="12" s="1"/>
  <c r="CI84" i="12" s="1"/>
  <c r="CI85" i="12" s="1"/>
  <c r="CI86" i="12" s="1"/>
  <c r="CI87" i="12" s="1"/>
  <c r="CI88" i="12" s="1"/>
  <c r="CI89" i="12" s="1"/>
  <c r="CI90" i="12" s="1"/>
  <c r="CI91" i="12" s="1"/>
  <c r="CI92" i="12" s="1"/>
  <c r="CI93" i="12" s="1"/>
  <c r="CI94" i="12" s="1"/>
  <c r="CI95" i="12" s="1"/>
  <c r="CI96" i="12" s="1"/>
  <c r="CI97" i="12" s="1"/>
  <c r="CI98" i="12" s="1"/>
  <c r="CI99" i="12" s="1"/>
  <c r="CI100" i="12" s="1"/>
  <c r="CI101" i="12" s="1"/>
  <c r="CI102" i="12" s="1"/>
  <c r="CI103" i="12" s="1"/>
  <c r="CI104" i="12" s="1"/>
  <c r="CI105" i="12" s="1"/>
  <c r="CI106" i="12" s="1"/>
  <c r="CI107" i="12" s="1"/>
  <c r="CI108" i="12" s="1"/>
  <c r="CI109" i="12" s="1"/>
  <c r="CI110" i="12" s="1"/>
  <c r="CI111" i="12" s="1"/>
  <c r="CI112" i="12" s="1"/>
  <c r="CI113" i="12" s="1"/>
  <c r="CI114" i="12" s="1"/>
  <c r="CI115" i="12" s="1"/>
  <c r="CI116" i="12" s="1"/>
  <c r="CI117" i="12" s="1"/>
  <c r="CI118" i="12" s="1"/>
  <c r="CI119" i="12" s="1"/>
  <c r="CI120" i="12" s="1"/>
  <c r="CI121" i="12" s="1"/>
  <c r="CI122" i="12" s="1"/>
  <c r="CI123" i="12" s="1"/>
  <c r="CI124" i="12" s="1"/>
  <c r="CI125" i="12" s="1"/>
  <c r="CI126" i="12" s="1"/>
  <c r="CI127" i="12" s="1"/>
  <c r="CI128" i="12" s="1"/>
  <c r="CI129" i="12" s="1"/>
  <c r="CI130" i="12" s="1"/>
  <c r="CI131" i="12" s="1"/>
  <c r="CI132" i="12" s="1"/>
  <c r="CI133" i="12" s="1"/>
  <c r="CI134" i="12" s="1"/>
  <c r="CI135" i="12" s="1"/>
  <c r="CI136" i="12" s="1"/>
  <c r="CI137" i="12" s="1"/>
  <c r="CI138" i="12" s="1"/>
  <c r="CI139" i="12" s="1"/>
  <c r="CI140" i="12" s="1"/>
  <c r="CI141" i="12" s="1"/>
  <c r="CI142" i="12" s="1"/>
  <c r="CI143" i="12" s="1"/>
  <c r="CI144" i="12" s="1"/>
  <c r="CI145" i="12" s="1"/>
  <c r="CI146" i="12" s="1"/>
  <c r="CI147" i="12" s="1"/>
  <c r="CI148" i="12" s="1"/>
  <c r="CH72" i="12"/>
  <c r="CH73" i="12" s="1"/>
  <c r="CH74" i="12" s="1"/>
  <c r="CH75" i="12" s="1"/>
  <c r="CH76" i="12" s="1"/>
  <c r="CH77" i="12" s="1"/>
  <c r="CH78" i="12" s="1"/>
  <c r="CH79" i="12" s="1"/>
  <c r="CH80" i="12" s="1"/>
  <c r="CH81" i="12" s="1"/>
  <c r="CH82" i="12" s="1"/>
  <c r="CH83" i="12" s="1"/>
  <c r="CH84" i="12" s="1"/>
  <c r="CH85" i="12" s="1"/>
  <c r="CH86" i="12" s="1"/>
  <c r="CH87" i="12" s="1"/>
  <c r="CH88" i="12" s="1"/>
  <c r="CH89" i="12" s="1"/>
  <c r="CH90" i="12" s="1"/>
  <c r="CH91" i="12" s="1"/>
  <c r="CH92" i="12" s="1"/>
  <c r="CH93" i="12" s="1"/>
  <c r="CH94" i="12" s="1"/>
  <c r="CH95" i="12" s="1"/>
  <c r="CH96" i="12" s="1"/>
  <c r="CH97" i="12" s="1"/>
  <c r="CH98" i="12" s="1"/>
  <c r="CH99" i="12" s="1"/>
  <c r="CH100" i="12" s="1"/>
  <c r="CH101" i="12" s="1"/>
  <c r="CH102" i="12" s="1"/>
  <c r="CH103" i="12" s="1"/>
  <c r="CH104" i="12" s="1"/>
  <c r="CH105" i="12" s="1"/>
  <c r="CH106" i="12" s="1"/>
  <c r="CH107" i="12" s="1"/>
  <c r="CH108" i="12" s="1"/>
  <c r="CH109" i="12" s="1"/>
  <c r="CH110" i="12" s="1"/>
  <c r="CH111" i="12" s="1"/>
  <c r="CH112" i="12" s="1"/>
  <c r="CH113" i="12" s="1"/>
  <c r="CH114" i="12" s="1"/>
  <c r="CH115" i="12" s="1"/>
  <c r="CH116" i="12" s="1"/>
  <c r="CH117" i="12" s="1"/>
  <c r="CH118" i="12" s="1"/>
  <c r="CH119" i="12" s="1"/>
  <c r="CH120" i="12" s="1"/>
  <c r="CH121" i="12" s="1"/>
  <c r="CH122" i="12" s="1"/>
  <c r="CH123" i="12" s="1"/>
  <c r="CH124" i="12" s="1"/>
  <c r="CH125" i="12" s="1"/>
  <c r="CH126" i="12" s="1"/>
  <c r="CH127" i="12" s="1"/>
  <c r="CH128" i="12" s="1"/>
  <c r="CH129" i="12" s="1"/>
  <c r="CH130" i="12" s="1"/>
  <c r="CH131" i="12" s="1"/>
  <c r="CH132" i="12" s="1"/>
  <c r="CH133" i="12" s="1"/>
  <c r="CH134" i="12" s="1"/>
  <c r="CH135" i="12" s="1"/>
  <c r="CH136" i="12" s="1"/>
  <c r="CH137" i="12" s="1"/>
  <c r="CH138" i="12" s="1"/>
  <c r="CH139" i="12" s="1"/>
  <c r="CH140" i="12" s="1"/>
  <c r="CH141" i="12" s="1"/>
  <c r="CH142" i="12" s="1"/>
  <c r="CH143" i="12" s="1"/>
  <c r="CH144" i="12" s="1"/>
  <c r="CH145" i="12" s="1"/>
  <c r="CH146" i="12" s="1"/>
  <c r="CH147" i="12" s="1"/>
  <c r="CH148" i="12" s="1"/>
  <c r="CO69" i="12" l="1"/>
  <c r="A58" i="49"/>
  <c r="A57" i="49"/>
  <c r="A56" i="49"/>
  <c r="A55" i="49"/>
  <c r="A54" i="49"/>
  <c r="A53" i="49"/>
  <c r="A52" i="49"/>
  <c r="A51" i="49"/>
  <c r="A50" i="49"/>
  <c r="A49" i="49"/>
  <c r="A48" i="49"/>
  <c r="A47" i="49"/>
  <c r="A46" i="49"/>
  <c r="A45" i="49"/>
  <c r="A44" i="49"/>
  <c r="A43" i="49"/>
  <c r="A42" i="49"/>
  <c r="A41" i="49"/>
  <c r="A40" i="49"/>
  <c r="A39" i="49"/>
  <c r="A38" i="49"/>
  <c r="A37" i="49"/>
  <c r="A36" i="49"/>
  <c r="A35" i="49"/>
  <c r="A34" i="49"/>
  <c r="A33" i="49"/>
  <c r="A32" i="49"/>
  <c r="A31" i="49"/>
  <c r="A30" i="49"/>
  <c r="A29" i="49"/>
  <c r="A28" i="49"/>
  <c r="A27" i="49"/>
  <c r="A26" i="49"/>
  <c r="A25" i="49"/>
  <c r="A24" i="49"/>
  <c r="A23" i="49"/>
  <c r="A22" i="49"/>
  <c r="A21" i="49"/>
  <c r="A20" i="49"/>
  <c r="A19" i="49"/>
  <c r="A18" i="49"/>
  <c r="A17" i="49"/>
  <c r="A16" i="49"/>
  <c r="A15" i="49"/>
  <c r="A14" i="49"/>
  <c r="A13" i="49"/>
  <c r="A12" i="49"/>
  <c r="A11" i="49"/>
  <c r="A10" i="49"/>
  <c r="A9" i="49"/>
  <c r="A8" i="49"/>
  <c r="A7" i="49"/>
  <c r="C12" i="49" l="1"/>
  <c r="K12" i="49"/>
  <c r="C24" i="49"/>
  <c r="K24" i="49"/>
  <c r="C36" i="49"/>
  <c r="K36" i="49"/>
  <c r="C44" i="49"/>
  <c r="K44" i="49"/>
  <c r="C52" i="49"/>
  <c r="D52" i="49" s="1"/>
  <c r="G62" i="14" s="1"/>
  <c r="K52" i="49"/>
  <c r="C9" i="49"/>
  <c r="K9" i="49"/>
  <c r="C13" i="49"/>
  <c r="K13" i="49"/>
  <c r="C17" i="49"/>
  <c r="K17" i="49"/>
  <c r="C21" i="49"/>
  <c r="K21" i="49"/>
  <c r="C25" i="49"/>
  <c r="K25" i="49"/>
  <c r="C29" i="49"/>
  <c r="K29" i="49"/>
  <c r="C33" i="49"/>
  <c r="K33" i="49"/>
  <c r="C37" i="49"/>
  <c r="K37" i="49"/>
  <c r="C41" i="49"/>
  <c r="K41" i="49"/>
  <c r="C45" i="49"/>
  <c r="K45" i="49"/>
  <c r="C49" i="49"/>
  <c r="K49" i="49"/>
  <c r="C53" i="49"/>
  <c r="D53" i="49" s="1"/>
  <c r="G63" i="14" s="1"/>
  <c r="K53" i="49"/>
  <c r="D57" i="49"/>
  <c r="G67" i="14" s="1"/>
  <c r="K57" i="49"/>
  <c r="K8" i="49"/>
  <c r="C8" i="49"/>
  <c r="D8" i="49" s="1"/>
  <c r="G18" i="14" s="1"/>
  <c r="C20" i="49"/>
  <c r="K20" i="49"/>
  <c r="C32" i="49"/>
  <c r="K32" i="49"/>
  <c r="C40" i="49"/>
  <c r="K40" i="49"/>
  <c r="C48" i="49"/>
  <c r="K48" i="49"/>
  <c r="D56" i="49"/>
  <c r="G66" i="14" s="1"/>
  <c r="K56" i="49"/>
  <c r="C10" i="49"/>
  <c r="K10" i="49"/>
  <c r="C14" i="49"/>
  <c r="K14" i="49"/>
  <c r="C18" i="49"/>
  <c r="K18" i="49"/>
  <c r="C22" i="49"/>
  <c r="K22" i="49"/>
  <c r="C26" i="49"/>
  <c r="K26" i="49"/>
  <c r="C30" i="49"/>
  <c r="K30" i="49"/>
  <c r="C34" i="49"/>
  <c r="K34" i="49"/>
  <c r="C38" i="49"/>
  <c r="K38" i="49"/>
  <c r="C42" i="49"/>
  <c r="K42" i="49"/>
  <c r="C46" i="49"/>
  <c r="K46" i="49"/>
  <c r="C50" i="49"/>
  <c r="K50" i="49"/>
  <c r="C54" i="49"/>
  <c r="K54" i="49"/>
  <c r="C16" i="49"/>
  <c r="K16" i="49"/>
  <c r="C28" i="49"/>
  <c r="K28" i="49"/>
  <c r="D7" i="49"/>
  <c r="G17" i="14" s="1"/>
  <c r="K7" i="49"/>
  <c r="C11" i="49"/>
  <c r="K11" i="49"/>
  <c r="C15" i="49"/>
  <c r="K15" i="49"/>
  <c r="C19" i="49"/>
  <c r="K19" i="49"/>
  <c r="C23" i="49"/>
  <c r="K23" i="49"/>
  <c r="C27" i="49"/>
  <c r="K27" i="49"/>
  <c r="C31" i="49"/>
  <c r="K31" i="49"/>
  <c r="C35" i="49"/>
  <c r="K35" i="49"/>
  <c r="C39" i="49"/>
  <c r="K39" i="49"/>
  <c r="C43" i="49"/>
  <c r="K43" i="49"/>
  <c r="C47" i="49"/>
  <c r="K47" i="49"/>
  <c r="C51" i="49"/>
  <c r="K51" i="49"/>
  <c r="C55" i="49"/>
  <c r="D55" i="49" s="1"/>
  <c r="G65" i="14" s="1"/>
  <c r="K55" i="49"/>
  <c r="D54" i="49"/>
  <c r="G64" i="14" s="1"/>
  <c r="CO70" i="12"/>
  <c r="CO71" i="12" s="1"/>
  <c r="CO72" i="12" s="1"/>
  <c r="CO73" i="12" s="1"/>
  <c r="CO74" i="12" s="1"/>
  <c r="CO75" i="12" s="1"/>
  <c r="CO76" i="12" s="1"/>
  <c r="CO77" i="12" s="1"/>
  <c r="CO78" i="12" s="1"/>
  <c r="CO79" i="12" s="1"/>
  <c r="CO80" i="12" s="1"/>
  <c r="CO81" i="12" s="1"/>
  <c r="CO82" i="12" s="1"/>
  <c r="CO83" i="12" s="1"/>
  <c r="CO84" i="12" s="1"/>
  <c r="CO85" i="12" s="1"/>
  <c r="CO86" i="12" s="1"/>
  <c r="CO87" i="12" s="1"/>
  <c r="CO88" i="12" s="1"/>
  <c r="CO89" i="12" s="1"/>
  <c r="CO90" i="12" s="1"/>
  <c r="CO91" i="12" s="1"/>
  <c r="CO92" i="12" s="1"/>
  <c r="CO93" i="12" s="1"/>
  <c r="CO94" i="12" s="1"/>
  <c r="CO95" i="12" s="1"/>
  <c r="CO96" i="12" s="1"/>
  <c r="CO97" i="12" s="1"/>
  <c r="CO98" i="12" s="1"/>
  <c r="CO99" i="12" s="1"/>
  <c r="CO100" i="12" s="1"/>
  <c r="CO101" i="12" s="1"/>
  <c r="CO102" i="12" s="1"/>
  <c r="CO103" i="12" s="1"/>
  <c r="CO104" i="12" s="1"/>
  <c r="CO105" i="12" s="1"/>
  <c r="CO106" i="12" s="1"/>
  <c r="CO107" i="12" s="1"/>
  <c r="CO108" i="12" s="1"/>
  <c r="CO109" i="12" s="1"/>
  <c r="CO110" i="12" s="1"/>
  <c r="CO111" i="12" s="1"/>
  <c r="CO112" i="12" s="1"/>
  <c r="CO113" i="12" s="1"/>
  <c r="CO114" i="12" s="1"/>
  <c r="CO115" i="12" s="1"/>
  <c r="CO116" i="12" s="1"/>
  <c r="CO117" i="12" s="1"/>
  <c r="CO118" i="12" s="1"/>
  <c r="CO119" i="12" s="1"/>
  <c r="CO120" i="12" s="1"/>
  <c r="CO121" i="12" s="1"/>
  <c r="CO122" i="12" s="1"/>
  <c r="CO123" i="12" s="1"/>
  <c r="CO124" i="12" s="1"/>
  <c r="CO125" i="12" s="1"/>
  <c r="CO126" i="12" s="1"/>
  <c r="CO127" i="12" s="1"/>
  <c r="CO128" i="12" s="1"/>
  <c r="CO129" i="12" s="1"/>
  <c r="CO130" i="12" s="1"/>
  <c r="CO131" i="12" s="1"/>
  <c r="CO132" i="12" s="1"/>
  <c r="CO133" i="12" s="1"/>
  <c r="CO134" i="12" s="1"/>
  <c r="CO135" i="12" s="1"/>
  <c r="CO136" i="12" s="1"/>
  <c r="CO137" i="12" s="1"/>
  <c r="CO138" i="12" s="1"/>
  <c r="CO139" i="12" s="1"/>
  <c r="CO140" i="12" s="1"/>
  <c r="CO141" i="12" s="1"/>
  <c r="CO142" i="12" s="1"/>
  <c r="CO143" i="12" s="1"/>
  <c r="CO144" i="12" s="1"/>
  <c r="CO145" i="12" s="1"/>
  <c r="CO146" i="12" s="1"/>
  <c r="CO147" i="12" s="1"/>
  <c r="CO148" i="12" s="1"/>
  <c r="M10" i="49"/>
  <c r="M11" i="49"/>
  <c r="C66" i="14"/>
  <c r="AB66" i="14" s="1"/>
  <c r="C17" i="14"/>
  <c r="AB17" i="14" s="1"/>
  <c r="C67" i="14"/>
  <c r="AB67" i="14" s="1"/>
  <c r="C18" i="14" l="1"/>
  <c r="AB18" i="14" s="1"/>
  <c r="C65" i="14"/>
  <c r="AB65" i="14" s="1"/>
  <c r="C64" i="14"/>
  <c r="AB64" i="14" s="1"/>
  <c r="N8" i="49"/>
  <c r="N10" i="49"/>
  <c r="N7" i="49"/>
  <c r="N9" i="49"/>
  <c r="N11" i="49"/>
  <c r="N12" i="49" l="1"/>
  <c r="N13" i="49" l="1"/>
  <c r="B4" i="43"/>
  <c r="D4" i="43" s="1"/>
  <c r="H4" i="43" s="1"/>
  <c r="L4" i="43" s="1"/>
  <c r="B4" i="41"/>
  <c r="D4" i="41" s="1"/>
  <c r="H4" i="41" s="1"/>
  <c r="L4" i="41" s="1"/>
  <c r="H4" i="28"/>
  <c r="E4" i="28"/>
  <c r="H5" i="28"/>
  <c r="E5" i="28"/>
  <c r="B4" i="28"/>
  <c r="N14" i="49" l="1"/>
  <c r="N15" i="49" l="1"/>
  <c r="F66" i="14"/>
  <c r="F67" i="14"/>
  <c r="N16" i="49" l="1"/>
  <c r="Z69" i="12"/>
  <c r="N17" i="49" l="1"/>
  <c r="Z68" i="12"/>
  <c r="Z67" i="12" s="1"/>
  <c r="Z66" i="12" s="1"/>
  <c r="Z65" i="12" s="1"/>
  <c r="Z64" i="12" s="1"/>
  <c r="Z63" i="12" s="1"/>
  <c r="Z62" i="12" s="1"/>
  <c r="Z61" i="12" s="1"/>
  <c r="Z60" i="12" s="1"/>
  <c r="N18" i="49" l="1"/>
  <c r="A7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6" i="33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17" i="14"/>
  <c r="D18" i="14" l="1"/>
  <c r="AC18" i="14"/>
  <c r="D64" i="14"/>
  <c r="AC64" i="14"/>
  <c r="D67" i="14"/>
  <c r="AC67" i="14"/>
  <c r="D66" i="14"/>
  <c r="AC66" i="14"/>
  <c r="D17" i="14"/>
  <c r="AC17" i="14"/>
  <c r="D65" i="14"/>
  <c r="AC65" i="14"/>
  <c r="A12" i="53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F65" i="14"/>
  <c r="F18" i="14"/>
  <c r="A12" i="28"/>
  <c r="A13" i="28" s="1"/>
  <c r="F64" i="14"/>
  <c r="N19" i="49"/>
  <c r="A43" i="53" l="1"/>
  <c r="A18" i="43"/>
  <c r="A18" i="41"/>
  <c r="N20" i="49"/>
  <c r="A14" i="28"/>
  <c r="A19" i="43"/>
  <c r="A19" i="41"/>
  <c r="L70" i="12"/>
  <c r="L71" i="12" s="1"/>
  <c r="L72" i="12" s="1"/>
  <c r="L73" i="12" s="1"/>
  <c r="L74" i="12" s="1"/>
  <c r="L75" i="12" s="1"/>
  <c r="L76" i="12" s="1"/>
  <c r="L77" i="12" s="1"/>
  <c r="L78" i="12" s="1"/>
  <c r="L79" i="12" s="1"/>
  <c r="L80" i="12" s="1"/>
  <c r="L81" i="12" s="1"/>
  <c r="L82" i="12" s="1"/>
  <c r="L83" i="12" s="1"/>
  <c r="L84" i="12" s="1"/>
  <c r="L85" i="12" s="1"/>
  <c r="L86" i="12" s="1"/>
  <c r="L87" i="12" s="1"/>
  <c r="L88" i="12" s="1"/>
  <c r="L89" i="12" s="1"/>
  <c r="L90" i="12" s="1"/>
  <c r="L91" i="12" s="1"/>
  <c r="L92" i="12" s="1"/>
  <c r="L93" i="12" s="1"/>
  <c r="L94" i="12" s="1"/>
  <c r="L95" i="12" s="1"/>
  <c r="L96" i="12" s="1"/>
  <c r="L97" i="12" s="1"/>
  <c r="L98" i="12" s="1"/>
  <c r="L99" i="12" s="1"/>
  <c r="L100" i="12" s="1"/>
  <c r="L101" i="12" s="1"/>
  <c r="L102" i="12" s="1"/>
  <c r="L103" i="12" s="1"/>
  <c r="L104" i="12" s="1"/>
  <c r="L105" i="12" s="1"/>
  <c r="L106" i="12" s="1"/>
  <c r="L107" i="12" s="1"/>
  <c r="L108" i="12" s="1"/>
  <c r="L109" i="12" s="1"/>
  <c r="L110" i="12" s="1"/>
  <c r="L111" i="12" s="1"/>
  <c r="L112" i="12" s="1"/>
  <c r="L113" i="12" s="1"/>
  <c r="L114" i="12" s="1"/>
  <c r="L115" i="12" s="1"/>
  <c r="L116" i="12" s="1"/>
  <c r="L117" i="12" s="1"/>
  <c r="L118" i="12" s="1"/>
  <c r="L119" i="12" s="1"/>
  <c r="L120" i="12" s="1"/>
  <c r="L121" i="12" s="1"/>
  <c r="L122" i="12" s="1"/>
  <c r="L123" i="12" s="1"/>
  <c r="L124" i="12" s="1"/>
  <c r="L125" i="12" s="1"/>
  <c r="L126" i="12" s="1"/>
  <c r="L127" i="12" s="1"/>
  <c r="L128" i="12" s="1"/>
  <c r="L129" i="12" s="1"/>
  <c r="L130" i="12" s="1"/>
  <c r="L131" i="12" s="1"/>
  <c r="L132" i="12" s="1"/>
  <c r="L133" i="12" s="1"/>
  <c r="L134" i="12" s="1"/>
  <c r="L135" i="12" s="1"/>
  <c r="L136" i="12" s="1"/>
  <c r="L137" i="12" s="1"/>
  <c r="L138" i="12" s="1"/>
  <c r="L139" i="12" s="1"/>
  <c r="L140" i="12" s="1"/>
  <c r="L141" i="12" s="1"/>
  <c r="L142" i="12" s="1"/>
  <c r="L143" i="12" s="1"/>
  <c r="L144" i="12" s="1"/>
  <c r="L145" i="12" s="1"/>
  <c r="L146" i="12" s="1"/>
  <c r="L147" i="12" s="1"/>
  <c r="L148" i="12" s="1"/>
  <c r="A44" i="53" l="1"/>
  <c r="N21" i="49"/>
  <c r="A20" i="43"/>
  <c r="A20" i="41"/>
  <c r="A15" i="28"/>
  <c r="A45" i="53" l="1"/>
  <c r="N22" i="49"/>
  <c r="A21" i="43"/>
  <c r="A16" i="28"/>
  <c r="A21" i="41"/>
  <c r="A46" i="53" l="1"/>
  <c r="N23" i="49"/>
  <c r="A17" i="28"/>
  <c r="A22" i="41"/>
  <c r="A22" i="43"/>
  <c r="A47" i="53" l="1"/>
  <c r="N24" i="49"/>
  <c r="A23" i="41"/>
  <c r="A18" i="28"/>
  <c r="A23" i="43"/>
  <c r="A48" i="53" l="1"/>
  <c r="N25" i="49"/>
  <c r="A24" i="41"/>
  <c r="A24" i="43"/>
  <c r="A19" i="28"/>
  <c r="L7" i="43"/>
  <c r="H7" i="43"/>
  <c r="D7" i="43"/>
  <c r="B7" i="43" s="1"/>
  <c r="L6" i="43"/>
  <c r="H6" i="43"/>
  <c r="D6" i="43"/>
  <c r="L5" i="43"/>
  <c r="H5" i="43"/>
  <c r="D5" i="43"/>
  <c r="A49" i="53" l="1"/>
  <c r="N26" i="49"/>
  <c r="B6" i="43"/>
  <c r="A25" i="41"/>
  <c r="A25" i="43"/>
  <c r="A20" i="28"/>
  <c r="E24" i="43"/>
  <c r="M22" i="43"/>
  <c r="I21" i="43"/>
  <c r="E20" i="43"/>
  <c r="M18" i="43"/>
  <c r="D24" i="43"/>
  <c r="L22" i="43"/>
  <c r="H21" i="43"/>
  <c r="D20" i="43"/>
  <c r="L18" i="43"/>
  <c r="M23" i="43"/>
  <c r="I22" i="43"/>
  <c r="E21" i="43"/>
  <c r="M19" i="43"/>
  <c r="I18" i="43"/>
  <c r="L23" i="43"/>
  <c r="H22" i="43"/>
  <c r="D21" i="43"/>
  <c r="L19" i="43"/>
  <c r="H18" i="43"/>
  <c r="M24" i="43"/>
  <c r="I23" i="43"/>
  <c r="E22" i="43"/>
  <c r="M20" i="43"/>
  <c r="I19" i="43"/>
  <c r="E18" i="43"/>
  <c r="L24" i="43"/>
  <c r="H23" i="43"/>
  <c r="D22" i="43"/>
  <c r="L20" i="43"/>
  <c r="H19" i="43"/>
  <c r="D18" i="43"/>
  <c r="I24" i="43"/>
  <c r="E23" i="43"/>
  <c r="M21" i="43"/>
  <c r="I20" i="43"/>
  <c r="E19" i="43"/>
  <c r="H24" i="43"/>
  <c r="D23" i="43"/>
  <c r="L21" i="43"/>
  <c r="H20" i="43"/>
  <c r="D19" i="43"/>
  <c r="B5" i="43"/>
  <c r="L7" i="41"/>
  <c r="H7" i="41"/>
  <c r="D7" i="41"/>
  <c r="B7" i="41" s="1"/>
  <c r="L6" i="41"/>
  <c r="H6" i="41"/>
  <c r="D6" i="41"/>
  <c r="L5" i="41"/>
  <c r="H5" i="41"/>
  <c r="D5" i="41"/>
  <c r="H7" i="28"/>
  <c r="H6" i="28"/>
  <c r="E7" i="28"/>
  <c r="E6" i="28"/>
  <c r="A50" i="53" l="1"/>
  <c r="H25" i="43"/>
  <c r="N27" i="49"/>
  <c r="M25" i="43"/>
  <c r="B6" i="41"/>
  <c r="E25" i="43"/>
  <c r="L25" i="43"/>
  <c r="D25" i="43"/>
  <c r="I25" i="43"/>
  <c r="A26" i="43"/>
  <c r="A26" i="41"/>
  <c r="A21" i="28"/>
  <c r="E25" i="41"/>
  <c r="M23" i="41"/>
  <c r="I22" i="41"/>
  <c r="E21" i="41"/>
  <c r="M19" i="41"/>
  <c r="I18" i="41"/>
  <c r="E22" i="41"/>
  <c r="E18" i="41"/>
  <c r="D25" i="41"/>
  <c r="L23" i="41"/>
  <c r="H22" i="41"/>
  <c r="D21" i="41"/>
  <c r="L19" i="41"/>
  <c r="H18" i="41"/>
  <c r="M24" i="41"/>
  <c r="M20" i="41"/>
  <c r="L24" i="41"/>
  <c r="H23" i="41"/>
  <c r="D22" i="41"/>
  <c r="L20" i="41"/>
  <c r="H19" i="41"/>
  <c r="D18" i="41"/>
  <c r="I25" i="41"/>
  <c r="I21" i="41"/>
  <c r="M18" i="41"/>
  <c r="M25" i="41"/>
  <c r="I24" i="41"/>
  <c r="E23" i="41"/>
  <c r="M21" i="41"/>
  <c r="I20" i="41"/>
  <c r="E19" i="41"/>
  <c r="L25" i="41"/>
  <c r="H24" i="41"/>
  <c r="D23" i="41"/>
  <c r="L21" i="41"/>
  <c r="H20" i="41"/>
  <c r="D19" i="41"/>
  <c r="E24" i="41"/>
  <c r="M22" i="41"/>
  <c r="E20" i="41"/>
  <c r="H25" i="41"/>
  <c r="D24" i="41"/>
  <c r="L22" i="41"/>
  <c r="H21" i="41"/>
  <c r="D20" i="41"/>
  <c r="L18" i="41"/>
  <c r="I23" i="41"/>
  <c r="I19" i="41"/>
  <c r="B5" i="41"/>
  <c r="A51" i="53" l="1"/>
  <c r="I26" i="41"/>
  <c r="N28" i="49"/>
  <c r="E26" i="41"/>
  <c r="M26" i="41"/>
  <c r="D26" i="41"/>
  <c r="H26" i="41"/>
  <c r="L26" i="41"/>
  <c r="M26" i="43"/>
  <c r="L26" i="43"/>
  <c r="I26" i="43"/>
  <c r="H26" i="43"/>
  <c r="E26" i="43"/>
  <c r="D26" i="43"/>
  <c r="A22" i="28"/>
  <c r="A27" i="43"/>
  <c r="A27" i="41"/>
  <c r="F17" i="14"/>
  <c r="A52" i="53" l="1"/>
  <c r="N29" i="49"/>
  <c r="D27" i="43"/>
  <c r="M27" i="43"/>
  <c r="L27" i="43"/>
  <c r="I27" i="43"/>
  <c r="H27" i="43"/>
  <c r="E27" i="43"/>
  <c r="D27" i="41"/>
  <c r="M27" i="41"/>
  <c r="L27" i="41"/>
  <c r="I27" i="41"/>
  <c r="E27" i="41"/>
  <c r="H27" i="41"/>
  <c r="A23" i="28"/>
  <c r="A28" i="43"/>
  <c r="A28" i="41"/>
  <c r="A53" i="53" l="1"/>
  <c r="N30" i="49"/>
  <c r="E28" i="43"/>
  <c r="M28" i="43"/>
  <c r="L28" i="43"/>
  <c r="I28" i="43"/>
  <c r="D28" i="43"/>
  <c r="H28" i="43"/>
  <c r="M28" i="41"/>
  <c r="L28" i="41"/>
  <c r="I28" i="41"/>
  <c r="D28" i="41"/>
  <c r="H28" i="41"/>
  <c r="E28" i="41"/>
  <c r="A24" i="28"/>
  <c r="A29" i="43"/>
  <c r="A29" i="41"/>
  <c r="A54" i="53" l="1"/>
  <c r="M70" i="12"/>
  <c r="N31" i="49"/>
  <c r="D29" i="41"/>
  <c r="E29" i="41"/>
  <c r="H29" i="41"/>
  <c r="M29" i="41"/>
  <c r="L29" i="41"/>
  <c r="I29" i="41"/>
  <c r="H29" i="43"/>
  <c r="E29" i="43"/>
  <c r="D29" i="43"/>
  <c r="L29" i="43"/>
  <c r="I29" i="43"/>
  <c r="M29" i="43"/>
  <c r="A25" i="28"/>
  <c r="A30" i="41"/>
  <c r="A30" i="43"/>
  <c r="B6" i="28"/>
  <c r="B7" i="28"/>
  <c r="K23" i="31"/>
  <c r="J23" i="31"/>
  <c r="I23" i="31"/>
  <c r="H23" i="31"/>
  <c r="G23" i="31"/>
  <c r="F23" i="31"/>
  <c r="E23" i="31"/>
  <c r="D23" i="31"/>
  <c r="C23" i="31"/>
  <c r="K22" i="31"/>
  <c r="J22" i="31"/>
  <c r="I22" i="31"/>
  <c r="H22" i="31"/>
  <c r="G22" i="31"/>
  <c r="F22" i="31"/>
  <c r="E22" i="31"/>
  <c r="D22" i="31"/>
  <c r="C22" i="31"/>
  <c r="K21" i="31"/>
  <c r="J21" i="31"/>
  <c r="I21" i="31"/>
  <c r="H21" i="31"/>
  <c r="G21" i="31"/>
  <c r="F21" i="31"/>
  <c r="E21" i="31"/>
  <c r="D21" i="31"/>
  <c r="C21" i="31"/>
  <c r="K20" i="31"/>
  <c r="J20" i="31"/>
  <c r="I20" i="31"/>
  <c r="H20" i="31"/>
  <c r="G20" i="31"/>
  <c r="F20" i="31"/>
  <c r="E20" i="31"/>
  <c r="D20" i="31"/>
  <c r="C20" i="31"/>
  <c r="K19" i="31"/>
  <c r="J19" i="31"/>
  <c r="I19" i="31"/>
  <c r="H19" i="31"/>
  <c r="G19" i="31"/>
  <c r="F19" i="31"/>
  <c r="E19" i="31"/>
  <c r="D19" i="31"/>
  <c r="C19" i="31"/>
  <c r="K18" i="31"/>
  <c r="J18" i="31"/>
  <c r="I18" i="31"/>
  <c r="H18" i="31"/>
  <c r="G18" i="31"/>
  <c r="F18" i="31"/>
  <c r="E18" i="31"/>
  <c r="D18" i="31"/>
  <c r="C18" i="31"/>
  <c r="K17" i="31"/>
  <c r="J17" i="31"/>
  <c r="I17" i="31"/>
  <c r="H17" i="31"/>
  <c r="G17" i="31"/>
  <c r="F17" i="31"/>
  <c r="E17" i="31"/>
  <c r="D17" i="31"/>
  <c r="C17" i="31"/>
  <c r="G16" i="31"/>
  <c r="F16" i="31"/>
  <c r="K16" i="31"/>
  <c r="J16" i="31"/>
  <c r="I16" i="31"/>
  <c r="E16" i="31"/>
  <c r="D16" i="31"/>
  <c r="C16" i="31"/>
  <c r="H8" i="53" l="1"/>
  <c r="B8" i="53"/>
  <c r="E8" i="53"/>
  <c r="A55" i="53"/>
  <c r="L8" i="43"/>
  <c r="D8" i="43"/>
  <c r="H8" i="43"/>
  <c r="H8" i="41"/>
  <c r="D8" i="41"/>
  <c r="L8" i="41"/>
  <c r="N32" i="49"/>
  <c r="M71" i="12"/>
  <c r="M30" i="43"/>
  <c r="L30" i="43"/>
  <c r="I30" i="43"/>
  <c r="H30" i="43"/>
  <c r="E30" i="43"/>
  <c r="D30" i="43"/>
  <c r="H30" i="41"/>
  <c r="M30" i="41"/>
  <c r="I30" i="41"/>
  <c r="D30" i="41"/>
  <c r="E30" i="41"/>
  <c r="L30" i="41"/>
  <c r="A26" i="28"/>
  <c r="A31" i="41"/>
  <c r="A31" i="43"/>
  <c r="H16" i="31"/>
  <c r="A56" i="53" l="1"/>
  <c r="M72" i="12"/>
  <c r="N33" i="49"/>
  <c r="M31" i="43"/>
  <c r="L31" i="43"/>
  <c r="I31" i="43"/>
  <c r="H31" i="43"/>
  <c r="E31" i="43"/>
  <c r="D31" i="43"/>
  <c r="D31" i="41"/>
  <c r="M31" i="41"/>
  <c r="I31" i="41"/>
  <c r="H31" i="41"/>
  <c r="E31" i="41"/>
  <c r="L31" i="41"/>
  <c r="A27" i="28"/>
  <c r="A32" i="41"/>
  <c r="A32" i="43"/>
  <c r="B8" i="43"/>
  <c r="B8" i="41"/>
  <c r="B5" i="28"/>
  <c r="M7" i="14"/>
  <c r="J5" i="14"/>
  <c r="A57" i="53" l="1"/>
  <c r="M73" i="12"/>
  <c r="N34" i="49"/>
  <c r="E8" i="28"/>
  <c r="B8" i="28"/>
  <c r="H8" i="28"/>
  <c r="H32" i="43"/>
  <c r="E32" i="43"/>
  <c r="M32" i="43"/>
  <c r="L32" i="43"/>
  <c r="I32" i="43"/>
  <c r="D32" i="43"/>
  <c r="E32" i="41"/>
  <c r="L32" i="41"/>
  <c r="I32" i="41"/>
  <c r="D32" i="41"/>
  <c r="H32" i="41"/>
  <c r="M32" i="41"/>
  <c r="A28" i="28"/>
  <c r="A33" i="41"/>
  <c r="A33" i="43"/>
  <c r="A58" i="53" l="1"/>
  <c r="N35" i="49"/>
  <c r="M74" i="12"/>
  <c r="I33" i="43"/>
  <c r="M33" i="43"/>
  <c r="H33" i="43"/>
  <c r="E33" i="43"/>
  <c r="D33" i="43"/>
  <c r="L33" i="43"/>
  <c r="M33" i="41"/>
  <c r="I33" i="41"/>
  <c r="D33" i="41"/>
  <c r="E33" i="41"/>
  <c r="H33" i="41"/>
  <c r="L33" i="41"/>
  <c r="A29" i="28"/>
  <c r="A34" i="43"/>
  <c r="A34" i="41"/>
  <c r="F7" i="49"/>
  <c r="A59" i="53" l="1"/>
  <c r="M75" i="12"/>
  <c r="N36" i="49"/>
  <c r="F54" i="49"/>
  <c r="F56" i="49"/>
  <c r="F8" i="49"/>
  <c r="F55" i="49"/>
  <c r="F57" i="49"/>
  <c r="A30" i="28"/>
  <c r="A35" i="43"/>
  <c r="A35" i="41"/>
  <c r="I34" i="41"/>
  <c r="L34" i="41"/>
  <c r="M34" i="41"/>
  <c r="D34" i="41"/>
  <c r="H34" i="41"/>
  <c r="E34" i="41"/>
  <c r="M34" i="43"/>
  <c r="L34" i="43"/>
  <c r="I34" i="43"/>
  <c r="H34" i="43"/>
  <c r="E34" i="43"/>
  <c r="D34" i="43"/>
  <c r="A60" i="53" l="1"/>
  <c r="M76" i="12"/>
  <c r="N37" i="49"/>
  <c r="K64" i="14"/>
  <c r="K67" i="14"/>
  <c r="K66" i="14"/>
  <c r="K18" i="14"/>
  <c r="L18" i="14" s="1"/>
  <c r="E56" i="49"/>
  <c r="M66" i="14" s="1"/>
  <c r="E54" i="49"/>
  <c r="M64" i="14" s="1"/>
  <c r="E57" i="49"/>
  <c r="M67" i="14" s="1"/>
  <c r="E55" i="49"/>
  <c r="M65" i="14" s="1"/>
  <c r="K65" i="14"/>
  <c r="E8" i="49"/>
  <c r="M18" i="14" s="1"/>
  <c r="A31" i="28"/>
  <c r="A36" i="43"/>
  <c r="A36" i="41"/>
  <c r="M35" i="41"/>
  <c r="H35" i="41"/>
  <c r="E35" i="41"/>
  <c r="D35" i="41"/>
  <c r="I35" i="41"/>
  <c r="L35" i="41"/>
  <c r="D35" i="43"/>
  <c r="M35" i="43"/>
  <c r="L35" i="43"/>
  <c r="I35" i="43"/>
  <c r="H35" i="43"/>
  <c r="E35" i="43"/>
  <c r="AI70" i="12"/>
  <c r="AI71" i="12" s="1"/>
  <c r="AI72" i="12" s="1"/>
  <c r="AI73" i="12" s="1"/>
  <c r="AI74" i="12" s="1"/>
  <c r="AI75" i="12" s="1"/>
  <c r="AI76" i="12" s="1"/>
  <c r="AI77" i="12" s="1"/>
  <c r="AI78" i="12" s="1"/>
  <c r="AI79" i="12" s="1"/>
  <c r="AI80" i="12" s="1"/>
  <c r="AI81" i="12" s="1"/>
  <c r="AI82" i="12" s="1"/>
  <c r="AI83" i="12" s="1"/>
  <c r="AI84" i="12" s="1"/>
  <c r="AI85" i="12" s="1"/>
  <c r="AI86" i="12" s="1"/>
  <c r="AI87" i="12" s="1"/>
  <c r="AI88" i="12" s="1"/>
  <c r="AI89" i="12" s="1"/>
  <c r="AI90" i="12" s="1"/>
  <c r="AI91" i="12" s="1"/>
  <c r="AI92" i="12" s="1"/>
  <c r="AI93" i="12" s="1"/>
  <c r="AI94" i="12" s="1"/>
  <c r="AI95" i="12" s="1"/>
  <c r="AI96" i="12" s="1"/>
  <c r="AI97" i="12" s="1"/>
  <c r="AI98" i="12" s="1"/>
  <c r="AI99" i="12" s="1"/>
  <c r="AI100" i="12" s="1"/>
  <c r="AI101" i="12" s="1"/>
  <c r="AI102" i="12" s="1"/>
  <c r="AI103" i="12" s="1"/>
  <c r="AI104" i="12" s="1"/>
  <c r="AI105" i="12" s="1"/>
  <c r="AI106" i="12" s="1"/>
  <c r="AI107" i="12" s="1"/>
  <c r="AI108" i="12" s="1"/>
  <c r="AI109" i="12" s="1"/>
  <c r="AI110" i="12" s="1"/>
  <c r="AI111" i="12" s="1"/>
  <c r="AI112" i="12" s="1"/>
  <c r="AI113" i="12" s="1"/>
  <c r="AI114" i="12" s="1"/>
  <c r="AI115" i="12" s="1"/>
  <c r="AI116" i="12" s="1"/>
  <c r="AI117" i="12" s="1"/>
  <c r="AI118" i="12" s="1"/>
  <c r="AI119" i="12" s="1"/>
  <c r="AI120" i="12" s="1"/>
  <c r="AI121" i="12" s="1"/>
  <c r="AI122" i="12" s="1"/>
  <c r="AI123" i="12" s="1"/>
  <c r="AI124" i="12" s="1"/>
  <c r="AI125" i="12" s="1"/>
  <c r="AI126" i="12" s="1"/>
  <c r="AI127" i="12" s="1"/>
  <c r="AI128" i="12" s="1"/>
  <c r="AI129" i="12" s="1"/>
  <c r="AI130" i="12" s="1"/>
  <c r="AI131" i="12" s="1"/>
  <c r="AI132" i="12" s="1"/>
  <c r="AI133" i="12" s="1"/>
  <c r="AI134" i="12" s="1"/>
  <c r="AI135" i="12" s="1"/>
  <c r="AI136" i="12" s="1"/>
  <c r="AI137" i="12" s="1"/>
  <c r="AI138" i="12" s="1"/>
  <c r="AI139" i="12" s="1"/>
  <c r="AI140" i="12" s="1"/>
  <c r="AI141" i="12" s="1"/>
  <c r="AI142" i="12" s="1"/>
  <c r="AI143" i="12" s="1"/>
  <c r="AI144" i="12" s="1"/>
  <c r="AI145" i="12" s="1"/>
  <c r="AI146" i="12" s="1"/>
  <c r="AI147" i="12" s="1"/>
  <c r="AI148" i="12" s="1"/>
  <c r="AF70" i="12"/>
  <c r="A61" i="53" l="1"/>
  <c r="I17" i="14"/>
  <c r="J17" i="14" s="1"/>
  <c r="N18" i="14"/>
  <c r="AH70" i="12"/>
  <c r="L9" i="49"/>
  <c r="L7" i="49"/>
  <c r="L10" i="49"/>
  <c r="L8" i="49"/>
  <c r="M8" i="49"/>
  <c r="AF71" i="12"/>
  <c r="M12" i="49"/>
  <c r="N38" i="49"/>
  <c r="M77" i="12"/>
  <c r="AC70" i="12"/>
  <c r="L11" i="49"/>
  <c r="M7" i="49"/>
  <c r="M9" i="49"/>
  <c r="A32" i="28"/>
  <c r="A37" i="43"/>
  <c r="A37" i="41"/>
  <c r="D36" i="41"/>
  <c r="H36" i="41"/>
  <c r="M36" i="41"/>
  <c r="E36" i="41"/>
  <c r="I36" i="41"/>
  <c r="L36" i="41"/>
  <c r="E36" i="43"/>
  <c r="M36" i="43"/>
  <c r="L36" i="43"/>
  <c r="I36" i="43"/>
  <c r="D36" i="43"/>
  <c r="H36" i="43"/>
  <c r="BG109" i="12"/>
  <c r="BG93" i="12"/>
  <c r="BG69" i="12"/>
  <c r="BG117" i="12"/>
  <c r="BG85" i="12"/>
  <c r="BG101" i="12"/>
  <c r="BG77" i="12"/>
  <c r="BG113" i="12"/>
  <c r="BG105" i="12"/>
  <c r="BG97" i="12"/>
  <c r="BG89" i="12"/>
  <c r="BG81" i="12"/>
  <c r="BG73" i="12"/>
  <c r="BG68" i="12"/>
  <c r="BG112" i="12"/>
  <c r="BG104" i="12"/>
  <c r="BG96" i="12"/>
  <c r="BG88" i="12"/>
  <c r="BG80" i="12"/>
  <c r="BG72" i="12"/>
  <c r="BG111" i="12"/>
  <c r="BG103" i="12"/>
  <c r="BG95" i="12"/>
  <c r="BG87" i="12"/>
  <c r="BG79" i="12"/>
  <c r="BG71" i="12"/>
  <c r="BG118" i="12"/>
  <c r="BG110" i="12"/>
  <c r="BG102" i="12"/>
  <c r="BG94" i="12"/>
  <c r="BG86" i="12"/>
  <c r="BG78" i="12"/>
  <c r="BG70" i="12"/>
  <c r="BG116" i="12"/>
  <c r="BG108" i="12"/>
  <c r="BG100" i="12"/>
  <c r="BG92" i="12"/>
  <c r="BG84" i="12"/>
  <c r="BG76" i="12"/>
  <c r="BG115" i="12"/>
  <c r="BG107" i="12"/>
  <c r="BG99" i="12"/>
  <c r="BG91" i="12"/>
  <c r="BG83" i="12"/>
  <c r="BG75" i="12"/>
  <c r="BG114" i="12"/>
  <c r="BG106" i="12"/>
  <c r="BG98" i="12"/>
  <c r="BG90" i="12"/>
  <c r="BG82" i="12"/>
  <c r="BG74" i="12"/>
  <c r="B119" i="12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A62" i="53" l="1"/>
  <c r="AH71" i="12"/>
  <c r="AE70" i="12"/>
  <c r="M78" i="12"/>
  <c r="AC71" i="12"/>
  <c r="L12" i="49"/>
  <c r="N39" i="49"/>
  <c r="AF72" i="12"/>
  <c r="M13" i="49"/>
  <c r="L37" i="41"/>
  <c r="M37" i="41"/>
  <c r="D37" i="41"/>
  <c r="I37" i="41"/>
  <c r="H37" i="41"/>
  <c r="E37" i="41"/>
  <c r="L37" i="43"/>
  <c r="I37" i="43"/>
  <c r="M37" i="43"/>
  <c r="H37" i="43"/>
  <c r="E37" i="43"/>
  <c r="D37" i="43"/>
  <c r="A33" i="28"/>
  <c r="A38" i="41"/>
  <c r="A38" i="43"/>
  <c r="G68" i="12"/>
  <c r="G65" i="12"/>
  <c r="G73" i="12"/>
  <c r="G81" i="12"/>
  <c r="G89" i="12"/>
  <c r="G97" i="12"/>
  <c r="G105" i="12"/>
  <c r="G113" i="12"/>
  <c r="G66" i="12"/>
  <c r="G74" i="12"/>
  <c r="G82" i="12"/>
  <c r="G90" i="12"/>
  <c r="G98" i="12"/>
  <c r="G106" i="12"/>
  <c r="G114" i="12"/>
  <c r="G67" i="12"/>
  <c r="G75" i="12"/>
  <c r="G83" i="12"/>
  <c r="G91" i="12"/>
  <c r="G99" i="12"/>
  <c r="G107" i="12"/>
  <c r="G115" i="12"/>
  <c r="G76" i="12"/>
  <c r="G84" i="12"/>
  <c r="G92" i="12"/>
  <c r="G100" i="12"/>
  <c r="G108" i="12"/>
  <c r="G116" i="12"/>
  <c r="G69" i="12"/>
  <c r="G77" i="12"/>
  <c r="G85" i="12"/>
  <c r="G93" i="12"/>
  <c r="G101" i="12"/>
  <c r="G109" i="12"/>
  <c r="G117" i="12"/>
  <c r="G70" i="12"/>
  <c r="G78" i="12"/>
  <c r="G86" i="12"/>
  <c r="G94" i="12"/>
  <c r="G102" i="12"/>
  <c r="G110" i="12"/>
  <c r="G118" i="12"/>
  <c r="G71" i="12"/>
  <c r="G79" i="12"/>
  <c r="G87" i="12"/>
  <c r="G95" i="12"/>
  <c r="G103" i="12"/>
  <c r="G111" i="12"/>
  <c r="G72" i="12"/>
  <c r="G80" i="12"/>
  <c r="G88" i="12"/>
  <c r="G96" i="12"/>
  <c r="G104" i="12"/>
  <c r="G112" i="12"/>
  <c r="BW69" i="12"/>
  <c r="BW70" i="12" s="1"/>
  <c r="BW71" i="12" s="1"/>
  <c r="BW72" i="12" s="1"/>
  <c r="BW73" i="12" s="1"/>
  <c r="BW74" i="12" s="1"/>
  <c r="BW75" i="12" s="1"/>
  <c r="BW76" i="12" s="1"/>
  <c r="BW77" i="12" s="1"/>
  <c r="BW78" i="12" s="1"/>
  <c r="BW79" i="12" s="1"/>
  <c r="BW80" i="12" s="1"/>
  <c r="BW81" i="12" s="1"/>
  <c r="BW82" i="12" s="1"/>
  <c r="BW83" i="12" s="1"/>
  <c r="BW84" i="12" s="1"/>
  <c r="BW85" i="12" s="1"/>
  <c r="BW86" i="12" s="1"/>
  <c r="BW87" i="12" s="1"/>
  <c r="BW88" i="12" s="1"/>
  <c r="BW89" i="12" s="1"/>
  <c r="BW90" i="12" s="1"/>
  <c r="BW91" i="12" s="1"/>
  <c r="BW92" i="12" s="1"/>
  <c r="BW93" i="12" s="1"/>
  <c r="BW94" i="12" s="1"/>
  <c r="BW95" i="12" s="1"/>
  <c r="BW96" i="12" s="1"/>
  <c r="BW97" i="12" s="1"/>
  <c r="BW98" i="12" s="1"/>
  <c r="BW99" i="12" s="1"/>
  <c r="BW100" i="12" s="1"/>
  <c r="BW101" i="12" s="1"/>
  <c r="BW102" i="12" s="1"/>
  <c r="BW103" i="12" s="1"/>
  <c r="BW104" i="12" s="1"/>
  <c r="BW105" i="12" s="1"/>
  <c r="BW106" i="12" s="1"/>
  <c r="BW107" i="12" s="1"/>
  <c r="BW108" i="12" s="1"/>
  <c r="BM69" i="12"/>
  <c r="BM70" i="12" s="1"/>
  <c r="BM71" i="12" s="1"/>
  <c r="BM72" i="12" s="1"/>
  <c r="BM73" i="12" s="1"/>
  <c r="BM74" i="12" s="1"/>
  <c r="BM75" i="12" s="1"/>
  <c r="BM76" i="12" s="1"/>
  <c r="BM77" i="12" s="1"/>
  <c r="BM78" i="12" s="1"/>
  <c r="BM79" i="12" s="1"/>
  <c r="BM80" i="12" s="1"/>
  <c r="BM81" i="12" s="1"/>
  <c r="BM82" i="12" s="1"/>
  <c r="BM83" i="12" s="1"/>
  <c r="BM84" i="12" s="1"/>
  <c r="BM85" i="12" s="1"/>
  <c r="BM86" i="12" s="1"/>
  <c r="BM87" i="12" s="1"/>
  <c r="BM88" i="12" s="1"/>
  <c r="BM89" i="12" s="1"/>
  <c r="BM90" i="12" s="1"/>
  <c r="BM91" i="12" s="1"/>
  <c r="BM92" i="12" s="1"/>
  <c r="BM93" i="12" s="1"/>
  <c r="BM94" i="12" s="1"/>
  <c r="BM95" i="12" s="1"/>
  <c r="BM96" i="12" s="1"/>
  <c r="BM97" i="12" s="1"/>
  <c r="BM98" i="12" s="1"/>
  <c r="BM99" i="12" s="1"/>
  <c r="BM100" i="12" s="1"/>
  <c r="BM101" i="12" s="1"/>
  <c r="BM102" i="12" s="1"/>
  <c r="BM103" i="12" s="1"/>
  <c r="BM104" i="12" s="1"/>
  <c r="BM105" i="12" s="1"/>
  <c r="BM106" i="12" s="1"/>
  <c r="BM107" i="12" s="1"/>
  <c r="BM108" i="12" s="1"/>
  <c r="BY69" i="12"/>
  <c r="BY70" i="12" s="1"/>
  <c r="BY71" i="12" s="1"/>
  <c r="BY72" i="12" s="1"/>
  <c r="BY73" i="12" s="1"/>
  <c r="BY74" i="12" s="1"/>
  <c r="BY75" i="12" s="1"/>
  <c r="BY76" i="12" s="1"/>
  <c r="BY77" i="12" s="1"/>
  <c r="BY78" i="12" s="1"/>
  <c r="BY79" i="12" s="1"/>
  <c r="BY80" i="12" s="1"/>
  <c r="BY81" i="12" s="1"/>
  <c r="BY82" i="12" s="1"/>
  <c r="BY83" i="12" s="1"/>
  <c r="BY84" i="12" s="1"/>
  <c r="BY85" i="12" s="1"/>
  <c r="BY86" i="12" s="1"/>
  <c r="BY87" i="12" s="1"/>
  <c r="BY88" i="12" s="1"/>
  <c r="BY89" i="12" s="1"/>
  <c r="BY90" i="12" s="1"/>
  <c r="BY91" i="12" s="1"/>
  <c r="BY92" i="12" s="1"/>
  <c r="BY93" i="12" s="1"/>
  <c r="BY94" i="12" s="1"/>
  <c r="BY95" i="12" s="1"/>
  <c r="BY96" i="12" s="1"/>
  <c r="BY97" i="12" s="1"/>
  <c r="BY98" i="12" s="1"/>
  <c r="BY99" i="12" s="1"/>
  <c r="BY100" i="12" s="1"/>
  <c r="BY101" i="12" s="1"/>
  <c r="BY102" i="12" s="1"/>
  <c r="BY103" i="12" s="1"/>
  <c r="BY104" i="12" s="1"/>
  <c r="BY105" i="12" s="1"/>
  <c r="BY106" i="12" s="1"/>
  <c r="BY107" i="12" s="1"/>
  <c r="BY108" i="12" s="1"/>
  <c r="BY109" i="12" s="1"/>
  <c r="BY110" i="12" s="1"/>
  <c r="BY111" i="12" s="1"/>
  <c r="BY112" i="12" s="1"/>
  <c r="BY113" i="12" s="1"/>
  <c r="BY114" i="12" s="1"/>
  <c r="BY115" i="12" s="1"/>
  <c r="BY116" i="12" s="1"/>
  <c r="BY117" i="12" s="1"/>
  <c r="BY118" i="12" s="1"/>
  <c r="BY119" i="12" s="1"/>
  <c r="BY120" i="12" s="1"/>
  <c r="BY121" i="12" s="1"/>
  <c r="BY122" i="12" s="1"/>
  <c r="BY123" i="12" s="1"/>
  <c r="BY124" i="12" s="1"/>
  <c r="BY125" i="12" s="1"/>
  <c r="BY126" i="12" s="1"/>
  <c r="BY127" i="12" s="1"/>
  <c r="BY128" i="12" s="1"/>
  <c r="BY129" i="12" s="1"/>
  <c r="BY130" i="12" s="1"/>
  <c r="BY131" i="12" s="1"/>
  <c r="BY132" i="12" s="1"/>
  <c r="BY133" i="12" s="1"/>
  <c r="BY134" i="12" s="1"/>
  <c r="BY135" i="12" s="1"/>
  <c r="BY136" i="12" s="1"/>
  <c r="BY137" i="12" s="1"/>
  <c r="BY138" i="12" s="1"/>
  <c r="BY139" i="12" s="1"/>
  <c r="BY140" i="12" s="1"/>
  <c r="BY141" i="12" s="1"/>
  <c r="BY142" i="12" s="1"/>
  <c r="BY143" i="12" s="1"/>
  <c r="BY144" i="12" s="1"/>
  <c r="BY145" i="12" s="1"/>
  <c r="BY146" i="12" s="1"/>
  <c r="BY147" i="12" s="1"/>
  <c r="BY148" i="12" s="1"/>
  <c r="BN69" i="12"/>
  <c r="BN70" i="12" s="1"/>
  <c r="BN71" i="12" s="1"/>
  <c r="BN72" i="12" s="1"/>
  <c r="BN73" i="12" s="1"/>
  <c r="BN74" i="12" s="1"/>
  <c r="BN75" i="12" s="1"/>
  <c r="BN76" i="12" s="1"/>
  <c r="BN77" i="12" s="1"/>
  <c r="BN78" i="12" s="1"/>
  <c r="BN79" i="12" s="1"/>
  <c r="BN80" i="12" s="1"/>
  <c r="BN81" i="12" s="1"/>
  <c r="BN82" i="12" s="1"/>
  <c r="BN83" i="12" s="1"/>
  <c r="BN84" i="12" s="1"/>
  <c r="BN85" i="12" s="1"/>
  <c r="BN86" i="12" s="1"/>
  <c r="BN87" i="12" s="1"/>
  <c r="BN88" i="12" s="1"/>
  <c r="BN89" i="12" s="1"/>
  <c r="BN90" i="12" s="1"/>
  <c r="BN91" i="12" s="1"/>
  <c r="BN92" i="12" s="1"/>
  <c r="BN93" i="12" s="1"/>
  <c r="BN94" i="12" s="1"/>
  <c r="BN95" i="12" s="1"/>
  <c r="BN96" i="12" s="1"/>
  <c r="BN97" i="12" s="1"/>
  <c r="BN98" i="12" s="1"/>
  <c r="BN99" i="12" s="1"/>
  <c r="BN100" i="12" s="1"/>
  <c r="BN101" i="12" s="1"/>
  <c r="BN102" i="12" s="1"/>
  <c r="BN103" i="12" s="1"/>
  <c r="BN104" i="12" s="1"/>
  <c r="BN105" i="12" s="1"/>
  <c r="BN106" i="12" s="1"/>
  <c r="BN107" i="12" s="1"/>
  <c r="BN108" i="12" s="1"/>
  <c r="BN109" i="12" s="1"/>
  <c r="BN110" i="12" s="1"/>
  <c r="BN111" i="12" s="1"/>
  <c r="BN112" i="12" s="1"/>
  <c r="BN113" i="12" s="1"/>
  <c r="BN114" i="12" s="1"/>
  <c r="BN115" i="12" s="1"/>
  <c r="BN116" i="12" s="1"/>
  <c r="BN117" i="12" s="1"/>
  <c r="BN118" i="12" s="1"/>
  <c r="BN119" i="12" s="1"/>
  <c r="BN120" i="12" s="1"/>
  <c r="BN121" i="12" s="1"/>
  <c r="BN122" i="12" s="1"/>
  <c r="BN123" i="12" s="1"/>
  <c r="BN124" i="12" s="1"/>
  <c r="BN125" i="12" s="1"/>
  <c r="BN126" i="12" s="1"/>
  <c r="BN127" i="12" s="1"/>
  <c r="BN128" i="12" s="1"/>
  <c r="BN129" i="12" s="1"/>
  <c r="BN130" i="12" s="1"/>
  <c r="BN131" i="12" s="1"/>
  <c r="BN132" i="12" s="1"/>
  <c r="BN133" i="12" s="1"/>
  <c r="BN134" i="12" s="1"/>
  <c r="BN135" i="12" s="1"/>
  <c r="BN136" i="12" s="1"/>
  <c r="BN137" i="12" s="1"/>
  <c r="BN138" i="12" s="1"/>
  <c r="BN139" i="12" s="1"/>
  <c r="BN140" i="12" s="1"/>
  <c r="BN141" i="12" s="1"/>
  <c r="BN142" i="12" s="1"/>
  <c r="BN143" i="12" s="1"/>
  <c r="BN144" i="12" s="1"/>
  <c r="BN145" i="12" s="1"/>
  <c r="BN146" i="12" s="1"/>
  <c r="BN147" i="12" s="1"/>
  <c r="BN148" i="12" s="1"/>
  <c r="BO69" i="12"/>
  <c r="BO70" i="12" s="1"/>
  <c r="BO71" i="12" s="1"/>
  <c r="BO72" i="12" s="1"/>
  <c r="BO73" i="12" s="1"/>
  <c r="BO74" i="12" s="1"/>
  <c r="BO75" i="12" s="1"/>
  <c r="BO76" i="12" s="1"/>
  <c r="BO77" i="12" s="1"/>
  <c r="BO78" i="12" s="1"/>
  <c r="BO79" i="12" s="1"/>
  <c r="BO80" i="12" s="1"/>
  <c r="BO81" i="12" s="1"/>
  <c r="BO82" i="12" s="1"/>
  <c r="BO83" i="12" s="1"/>
  <c r="BO84" i="12" s="1"/>
  <c r="BO85" i="12" s="1"/>
  <c r="BO86" i="12" s="1"/>
  <c r="BO87" i="12" s="1"/>
  <c r="BO88" i="12" s="1"/>
  <c r="BO89" i="12" s="1"/>
  <c r="BO90" i="12" s="1"/>
  <c r="BO91" i="12" s="1"/>
  <c r="BO92" i="12" s="1"/>
  <c r="BO93" i="12" s="1"/>
  <c r="BO94" i="12" s="1"/>
  <c r="BO95" i="12" s="1"/>
  <c r="BO96" i="12" s="1"/>
  <c r="BO97" i="12" s="1"/>
  <c r="BO98" i="12" s="1"/>
  <c r="BO99" i="12" s="1"/>
  <c r="BO100" i="12" s="1"/>
  <c r="BO101" i="12" s="1"/>
  <c r="BO102" i="12" s="1"/>
  <c r="BO103" i="12" s="1"/>
  <c r="BO104" i="12" s="1"/>
  <c r="BO105" i="12" s="1"/>
  <c r="BO106" i="12" s="1"/>
  <c r="BO107" i="12" s="1"/>
  <c r="BO108" i="12" s="1"/>
  <c r="BO109" i="12" s="1"/>
  <c r="BO110" i="12" s="1"/>
  <c r="BO111" i="12" s="1"/>
  <c r="BO112" i="12" s="1"/>
  <c r="BO113" i="12" s="1"/>
  <c r="BO114" i="12" s="1"/>
  <c r="BO115" i="12" s="1"/>
  <c r="BO116" i="12" s="1"/>
  <c r="BO117" i="12" s="1"/>
  <c r="BO118" i="12" s="1"/>
  <c r="BO119" i="12" s="1"/>
  <c r="BO120" i="12" s="1"/>
  <c r="BO121" i="12" s="1"/>
  <c r="BO122" i="12" s="1"/>
  <c r="BO123" i="12" s="1"/>
  <c r="BO124" i="12" s="1"/>
  <c r="BO125" i="12" s="1"/>
  <c r="BO126" i="12" s="1"/>
  <c r="BO127" i="12" s="1"/>
  <c r="BO128" i="12" s="1"/>
  <c r="BO129" i="12" s="1"/>
  <c r="BO130" i="12" s="1"/>
  <c r="BO131" i="12" s="1"/>
  <c r="BO132" i="12" s="1"/>
  <c r="BO133" i="12" s="1"/>
  <c r="BO134" i="12" s="1"/>
  <c r="BO135" i="12" s="1"/>
  <c r="BO136" i="12" s="1"/>
  <c r="BO137" i="12" s="1"/>
  <c r="BO138" i="12" s="1"/>
  <c r="BO139" i="12" s="1"/>
  <c r="BO140" i="12" s="1"/>
  <c r="BO141" i="12" s="1"/>
  <c r="BO142" i="12" s="1"/>
  <c r="BO143" i="12" s="1"/>
  <c r="BO144" i="12" s="1"/>
  <c r="BO145" i="12" s="1"/>
  <c r="BO146" i="12" s="1"/>
  <c r="BO147" i="12" s="1"/>
  <c r="BO148" i="12" s="1"/>
  <c r="BX69" i="12"/>
  <c r="BX70" i="12" s="1"/>
  <c r="BX71" i="12" s="1"/>
  <c r="BX72" i="12" s="1"/>
  <c r="BX73" i="12" s="1"/>
  <c r="BX74" i="12" s="1"/>
  <c r="BX75" i="12" s="1"/>
  <c r="BX76" i="12" s="1"/>
  <c r="BX77" i="12" s="1"/>
  <c r="BX78" i="12" s="1"/>
  <c r="BX79" i="12" s="1"/>
  <c r="BX80" i="12" s="1"/>
  <c r="BX81" i="12" s="1"/>
  <c r="BX82" i="12" s="1"/>
  <c r="BX83" i="12" s="1"/>
  <c r="BX84" i="12" s="1"/>
  <c r="BX85" i="12" s="1"/>
  <c r="BX86" i="12" s="1"/>
  <c r="BX87" i="12" s="1"/>
  <c r="BX88" i="12" s="1"/>
  <c r="BX89" i="12" s="1"/>
  <c r="BX90" i="12" s="1"/>
  <c r="BX91" i="12" s="1"/>
  <c r="BX92" i="12" s="1"/>
  <c r="BX93" i="12" s="1"/>
  <c r="BX94" i="12" s="1"/>
  <c r="BX95" i="12" s="1"/>
  <c r="BX96" i="12" s="1"/>
  <c r="BX97" i="12" s="1"/>
  <c r="BX98" i="12" s="1"/>
  <c r="BX99" i="12" s="1"/>
  <c r="BX100" i="12" s="1"/>
  <c r="BX101" i="12" s="1"/>
  <c r="BX102" i="12" s="1"/>
  <c r="BX103" i="12" s="1"/>
  <c r="BX104" i="12" s="1"/>
  <c r="BX105" i="12" s="1"/>
  <c r="BX106" i="12" s="1"/>
  <c r="BX107" i="12" s="1"/>
  <c r="BX108" i="12" s="1"/>
  <c r="BX109" i="12" s="1"/>
  <c r="BX110" i="12" s="1"/>
  <c r="BX111" i="12" s="1"/>
  <c r="BX112" i="12" s="1"/>
  <c r="BX113" i="12" s="1"/>
  <c r="BX114" i="12" s="1"/>
  <c r="BX115" i="12" s="1"/>
  <c r="BX116" i="12" s="1"/>
  <c r="BX117" i="12" s="1"/>
  <c r="BX118" i="12" s="1"/>
  <c r="BX119" i="12" s="1"/>
  <c r="BX120" i="12" s="1"/>
  <c r="BX121" i="12" s="1"/>
  <c r="BX122" i="12" s="1"/>
  <c r="BX123" i="12" s="1"/>
  <c r="BX124" i="12" s="1"/>
  <c r="BX125" i="12" s="1"/>
  <c r="BX126" i="12" s="1"/>
  <c r="BX127" i="12" s="1"/>
  <c r="BX128" i="12" s="1"/>
  <c r="BX129" i="12" s="1"/>
  <c r="BX130" i="12" s="1"/>
  <c r="BX131" i="12" s="1"/>
  <c r="BX132" i="12" s="1"/>
  <c r="BX133" i="12" s="1"/>
  <c r="BX134" i="12" s="1"/>
  <c r="BX135" i="12" s="1"/>
  <c r="BX136" i="12" s="1"/>
  <c r="BX137" i="12" s="1"/>
  <c r="BX138" i="12" s="1"/>
  <c r="BX139" i="12" s="1"/>
  <c r="BX140" i="12" s="1"/>
  <c r="BX141" i="12" s="1"/>
  <c r="BX142" i="12" s="1"/>
  <c r="BX143" i="12" s="1"/>
  <c r="BX144" i="12" s="1"/>
  <c r="BX145" i="12" s="1"/>
  <c r="BX146" i="12" s="1"/>
  <c r="BX147" i="12" s="1"/>
  <c r="BX148" i="12" s="1"/>
  <c r="E68" i="12"/>
  <c r="E66" i="12"/>
  <c r="E67" i="12"/>
  <c r="A63" i="53" l="1"/>
  <c r="AH72" i="12"/>
  <c r="AE71" i="12"/>
  <c r="AC72" i="12"/>
  <c r="L13" i="49"/>
  <c r="M79" i="12"/>
  <c r="AF73" i="12"/>
  <c r="M14" i="49"/>
  <c r="N40" i="49"/>
  <c r="T55" i="49"/>
  <c r="T56" i="49"/>
  <c r="T54" i="49"/>
  <c r="T57" i="49"/>
  <c r="B18" i="43"/>
  <c r="T7" i="49"/>
  <c r="T8" i="49"/>
  <c r="E38" i="41"/>
  <c r="D38" i="41"/>
  <c r="H38" i="41"/>
  <c r="I38" i="41"/>
  <c r="L38" i="41"/>
  <c r="M38" i="41"/>
  <c r="A34" i="28"/>
  <c r="A39" i="41"/>
  <c r="A39" i="43"/>
  <c r="M38" i="43"/>
  <c r="L38" i="43"/>
  <c r="I38" i="43"/>
  <c r="H38" i="43"/>
  <c r="E38" i="43"/>
  <c r="D38" i="43"/>
  <c r="B19" i="43"/>
  <c r="U18" i="14"/>
  <c r="V18" i="14" s="1"/>
  <c r="BM109" i="12"/>
  <c r="BW109" i="12"/>
  <c r="D51" i="49"/>
  <c r="G61" i="14" s="1"/>
  <c r="D48" i="49"/>
  <c r="G58" i="14" s="1"/>
  <c r="D47" i="49"/>
  <c r="G57" i="14" s="1"/>
  <c r="D46" i="49"/>
  <c r="G56" i="14" s="1"/>
  <c r="D45" i="49"/>
  <c r="G55" i="14" s="1"/>
  <c r="D44" i="49"/>
  <c r="G54" i="14" s="1"/>
  <c r="D43" i="49"/>
  <c r="G53" i="14" s="1"/>
  <c r="D42" i="49"/>
  <c r="G52" i="14" s="1"/>
  <c r="D41" i="49"/>
  <c r="G51" i="14" s="1"/>
  <c r="D40" i="49"/>
  <c r="G50" i="14" s="1"/>
  <c r="D38" i="49"/>
  <c r="G48" i="14" s="1"/>
  <c r="D37" i="49"/>
  <c r="G47" i="14" s="1"/>
  <c r="D36" i="49"/>
  <c r="G46" i="14" s="1"/>
  <c r="D35" i="49"/>
  <c r="G45" i="14" s="1"/>
  <c r="D34" i="49"/>
  <c r="G44" i="14" s="1"/>
  <c r="D33" i="49"/>
  <c r="G43" i="14" s="1"/>
  <c r="D32" i="49"/>
  <c r="G42" i="14" s="1"/>
  <c r="D31" i="49"/>
  <c r="G41" i="14" s="1"/>
  <c r="D30" i="49"/>
  <c r="G40" i="14" s="1"/>
  <c r="D27" i="49"/>
  <c r="G37" i="14" s="1"/>
  <c r="D26" i="49"/>
  <c r="G36" i="14" s="1"/>
  <c r="D25" i="49"/>
  <c r="G35" i="14" s="1"/>
  <c r="D24" i="49"/>
  <c r="G34" i="14" s="1"/>
  <c r="D23" i="49"/>
  <c r="G33" i="14" s="1"/>
  <c r="D22" i="49"/>
  <c r="G32" i="14" s="1"/>
  <c r="D21" i="49"/>
  <c r="G31" i="14" s="1"/>
  <c r="D20" i="49"/>
  <c r="G30" i="14" s="1"/>
  <c r="D17" i="49"/>
  <c r="G27" i="14" s="1"/>
  <c r="D16" i="49"/>
  <c r="G26" i="14" s="1"/>
  <c r="D15" i="49"/>
  <c r="G25" i="14" s="1"/>
  <c r="D10" i="49"/>
  <c r="G20" i="14" s="1"/>
  <c r="T9" i="49"/>
  <c r="D49" i="49" l="1"/>
  <c r="G59" i="14" s="1"/>
  <c r="D29" i="49"/>
  <c r="G39" i="14" s="1"/>
  <c r="D18" i="49"/>
  <c r="G28" i="14" s="1"/>
  <c r="D19" i="49"/>
  <c r="G29" i="14" s="1"/>
  <c r="D39" i="49"/>
  <c r="G49" i="14" s="1"/>
  <c r="D9" i="49"/>
  <c r="G19" i="14" s="1"/>
  <c r="C19" i="14"/>
  <c r="AB19" i="14" s="1"/>
  <c r="F9" i="49"/>
  <c r="D28" i="49"/>
  <c r="G38" i="14" s="1"/>
  <c r="A64" i="53"/>
  <c r="D50" i="49"/>
  <c r="G60" i="14" s="1"/>
  <c r="AH73" i="12"/>
  <c r="AE72" i="12"/>
  <c r="C62" i="14"/>
  <c r="AB62" i="14" s="1"/>
  <c r="F52" i="49"/>
  <c r="D14" i="49"/>
  <c r="G24" i="14" s="1"/>
  <c r="I18" i="14"/>
  <c r="J18" i="14" s="1"/>
  <c r="M80" i="12"/>
  <c r="N41" i="49"/>
  <c r="AF74" i="12"/>
  <c r="M15" i="49"/>
  <c r="AC73" i="12"/>
  <c r="L14" i="49"/>
  <c r="L39" i="41"/>
  <c r="M39" i="41"/>
  <c r="I39" i="41"/>
  <c r="H39" i="41"/>
  <c r="E39" i="41"/>
  <c r="D39" i="41"/>
  <c r="A35" i="28"/>
  <c r="A40" i="43"/>
  <c r="A40" i="41"/>
  <c r="M39" i="43"/>
  <c r="L39" i="43"/>
  <c r="I39" i="43"/>
  <c r="H39" i="43"/>
  <c r="E39" i="43"/>
  <c r="D39" i="43"/>
  <c r="BW110" i="12"/>
  <c r="BW111" i="12" s="1"/>
  <c r="BW112" i="12" s="1"/>
  <c r="BW113" i="12" s="1"/>
  <c r="BW114" i="12" s="1"/>
  <c r="BW115" i="12" s="1"/>
  <c r="BW116" i="12" s="1"/>
  <c r="BW117" i="12" s="1"/>
  <c r="BW118" i="12" s="1"/>
  <c r="BW119" i="12" s="1"/>
  <c r="BW120" i="12" s="1"/>
  <c r="BW121" i="12" s="1"/>
  <c r="BW122" i="12" s="1"/>
  <c r="BW123" i="12" s="1"/>
  <c r="BW124" i="12" s="1"/>
  <c r="BW125" i="12" s="1"/>
  <c r="BW126" i="12" s="1"/>
  <c r="BW127" i="12" s="1"/>
  <c r="BW128" i="12" s="1"/>
  <c r="BW129" i="12" s="1"/>
  <c r="BW130" i="12" s="1"/>
  <c r="BW131" i="12" s="1"/>
  <c r="BW132" i="12" s="1"/>
  <c r="BW133" i="12" s="1"/>
  <c r="BW134" i="12" s="1"/>
  <c r="BW135" i="12" s="1"/>
  <c r="BW136" i="12" s="1"/>
  <c r="BW137" i="12" s="1"/>
  <c r="BW138" i="12" s="1"/>
  <c r="BW139" i="12" s="1"/>
  <c r="BW140" i="12" s="1"/>
  <c r="BW141" i="12" s="1"/>
  <c r="BW142" i="12" s="1"/>
  <c r="BW143" i="12" s="1"/>
  <c r="BW144" i="12" s="1"/>
  <c r="BW145" i="12" s="1"/>
  <c r="BW146" i="12" s="1"/>
  <c r="BW147" i="12" s="1"/>
  <c r="BW148" i="12" s="1"/>
  <c r="BM110" i="12"/>
  <c r="BM111" i="12" s="1"/>
  <c r="BM112" i="12" s="1"/>
  <c r="BM113" i="12" s="1"/>
  <c r="BM114" i="12" s="1"/>
  <c r="BM115" i="12" s="1"/>
  <c r="BM116" i="12" s="1"/>
  <c r="BM117" i="12" s="1"/>
  <c r="BM118" i="12" s="1"/>
  <c r="BM119" i="12" s="1"/>
  <c r="BM120" i="12" s="1"/>
  <c r="BM121" i="12" s="1"/>
  <c r="BM122" i="12" s="1"/>
  <c r="BM123" i="12" s="1"/>
  <c r="BM124" i="12" s="1"/>
  <c r="BM125" i="12" s="1"/>
  <c r="BM126" i="12" s="1"/>
  <c r="BM127" i="12" s="1"/>
  <c r="BM128" i="12" s="1"/>
  <c r="BM129" i="12" s="1"/>
  <c r="BM130" i="12" s="1"/>
  <c r="BM131" i="12" s="1"/>
  <c r="BM132" i="12" s="1"/>
  <c r="BM133" i="12" s="1"/>
  <c r="BM134" i="12" s="1"/>
  <c r="BM135" i="12" s="1"/>
  <c r="BM136" i="12" s="1"/>
  <c r="BM137" i="12" s="1"/>
  <c r="BM138" i="12" s="1"/>
  <c r="BM139" i="12" s="1"/>
  <c r="BM140" i="12" s="1"/>
  <c r="BM141" i="12" s="1"/>
  <c r="BM142" i="12" s="1"/>
  <c r="BM143" i="12" s="1"/>
  <c r="BM144" i="12" s="1"/>
  <c r="BM145" i="12" s="1"/>
  <c r="BM146" i="12" s="1"/>
  <c r="BM147" i="12" s="1"/>
  <c r="BM148" i="12" s="1"/>
  <c r="D19" i="14" l="1"/>
  <c r="AC19" i="14"/>
  <c r="D62" i="14"/>
  <c r="AC62" i="14"/>
  <c r="F19" i="14"/>
  <c r="I19" i="14" s="1"/>
  <c r="J19" i="14" s="1"/>
  <c r="B20" i="43"/>
  <c r="K19" i="14"/>
  <c r="E9" i="49"/>
  <c r="M19" i="14" s="1"/>
  <c r="I13" i="53"/>
  <c r="A65" i="53"/>
  <c r="F36" i="49"/>
  <c r="C26" i="14"/>
  <c r="AB26" i="14" s="1"/>
  <c r="F22" i="49"/>
  <c r="C63" i="14"/>
  <c r="AB63" i="14" s="1"/>
  <c r="F53" i="49"/>
  <c r="T53" i="49"/>
  <c r="C51" i="14"/>
  <c r="AB51" i="14" s="1"/>
  <c r="H18" i="14"/>
  <c r="AH74" i="12"/>
  <c r="AE73" i="12"/>
  <c r="T52" i="49"/>
  <c r="C31" i="14"/>
  <c r="AB31" i="14" s="1"/>
  <c r="F21" i="49"/>
  <c r="T21" i="49"/>
  <c r="C40" i="14"/>
  <c r="AB40" i="14" s="1"/>
  <c r="F30" i="49"/>
  <c r="T30" i="49"/>
  <c r="F50" i="49"/>
  <c r="C41" i="14"/>
  <c r="AB41" i="14" s="1"/>
  <c r="F31" i="49"/>
  <c r="T31" i="49"/>
  <c r="C30" i="14"/>
  <c r="AB30" i="14" s="1"/>
  <c r="F20" i="49"/>
  <c r="T20" i="49"/>
  <c r="F34" i="49"/>
  <c r="C44" i="14"/>
  <c r="AB44" i="14" s="1"/>
  <c r="T34" i="49"/>
  <c r="C43" i="14"/>
  <c r="AB43" i="14" s="1"/>
  <c r="F33" i="49"/>
  <c r="T33" i="49"/>
  <c r="C55" i="14"/>
  <c r="AB55" i="14" s="1"/>
  <c r="F39" i="49"/>
  <c r="C49" i="14"/>
  <c r="AB49" i="14" s="1"/>
  <c r="T39" i="49"/>
  <c r="F44" i="49"/>
  <c r="C54" i="14"/>
  <c r="AB54" i="14" s="1"/>
  <c r="T44" i="49"/>
  <c r="C35" i="14"/>
  <c r="AB35" i="14" s="1"/>
  <c r="F25" i="49"/>
  <c r="T25" i="49"/>
  <c r="C52" i="14"/>
  <c r="AB52" i="14" s="1"/>
  <c r="F42" i="49"/>
  <c r="T42" i="49"/>
  <c r="C47" i="14"/>
  <c r="AB47" i="14" s="1"/>
  <c r="F37" i="49"/>
  <c r="T37" i="49"/>
  <c r="F32" i="49"/>
  <c r="C42" i="14"/>
  <c r="AB42" i="14" s="1"/>
  <c r="T32" i="49"/>
  <c r="C36" i="14"/>
  <c r="AB36" i="14" s="1"/>
  <c r="F26" i="49"/>
  <c r="T26" i="49"/>
  <c r="F23" i="49"/>
  <c r="C33" i="14"/>
  <c r="AB33" i="14" s="1"/>
  <c r="T23" i="49"/>
  <c r="F18" i="49"/>
  <c r="C28" i="14"/>
  <c r="AB28" i="14" s="1"/>
  <c r="T18" i="49"/>
  <c r="F47" i="49"/>
  <c r="C57" i="14"/>
  <c r="AB57" i="14" s="1"/>
  <c r="T47" i="49"/>
  <c r="C59" i="14"/>
  <c r="AB59" i="14" s="1"/>
  <c r="C27" i="14"/>
  <c r="AB27" i="14" s="1"/>
  <c r="F17" i="49"/>
  <c r="F46" i="49"/>
  <c r="C56" i="14"/>
  <c r="AB56" i="14" s="1"/>
  <c r="T46" i="49"/>
  <c r="F51" i="49"/>
  <c r="C61" i="14"/>
  <c r="AB61" i="14" s="1"/>
  <c r="T51" i="49"/>
  <c r="F19" i="49"/>
  <c r="C29" i="14"/>
  <c r="AB29" i="14" s="1"/>
  <c r="T19" i="49"/>
  <c r="K62" i="14"/>
  <c r="E52" i="49"/>
  <c r="M62" i="14" s="1"/>
  <c r="F28" i="49"/>
  <c r="C38" i="14"/>
  <c r="AB38" i="14" s="1"/>
  <c r="T28" i="49"/>
  <c r="C48" i="14"/>
  <c r="AB48" i="14" s="1"/>
  <c r="F24" i="49"/>
  <c r="C34" i="14"/>
  <c r="AB34" i="14" s="1"/>
  <c r="T24" i="49"/>
  <c r="F43" i="49"/>
  <c r="C53" i="14"/>
  <c r="AB53" i="14" s="1"/>
  <c r="T43" i="49"/>
  <c r="F29" i="49"/>
  <c r="C39" i="14"/>
  <c r="AB39" i="14" s="1"/>
  <c r="T29" i="49"/>
  <c r="F40" i="49"/>
  <c r="C50" i="14"/>
  <c r="AB50" i="14" s="1"/>
  <c r="T40" i="49"/>
  <c r="C25" i="14"/>
  <c r="AB25" i="14" s="1"/>
  <c r="F15" i="49"/>
  <c r="T15" i="49"/>
  <c r="H9" i="49"/>
  <c r="I9" i="49" s="1"/>
  <c r="H8" i="49"/>
  <c r="I8" i="49" s="1"/>
  <c r="D13" i="49"/>
  <c r="G23" i="14" s="1"/>
  <c r="AC74" i="12"/>
  <c r="L15" i="49"/>
  <c r="N42" i="49"/>
  <c r="AF75" i="12"/>
  <c r="M16" i="49"/>
  <c r="M81" i="12"/>
  <c r="F62" i="14"/>
  <c r="A36" i="28"/>
  <c r="A41" i="41"/>
  <c r="A41" i="43"/>
  <c r="D40" i="43"/>
  <c r="H40" i="43"/>
  <c r="E40" i="43"/>
  <c r="M40" i="43"/>
  <c r="L40" i="43"/>
  <c r="I40" i="43"/>
  <c r="M40" i="41"/>
  <c r="D40" i="41"/>
  <c r="E40" i="41"/>
  <c r="I40" i="41"/>
  <c r="H40" i="41"/>
  <c r="L40" i="41"/>
  <c r="J69" i="12"/>
  <c r="D25" i="14" l="1"/>
  <c r="AC25" i="14"/>
  <c r="D38" i="14"/>
  <c r="AC38" i="14"/>
  <c r="D52" i="14"/>
  <c r="AC52" i="14"/>
  <c r="D63" i="14"/>
  <c r="AC63" i="14"/>
  <c r="D53" i="14"/>
  <c r="AC53" i="14"/>
  <c r="D29" i="14"/>
  <c r="AC29" i="14"/>
  <c r="D57" i="14"/>
  <c r="AC57" i="14"/>
  <c r="D42" i="14"/>
  <c r="AC42" i="14"/>
  <c r="D47" i="14"/>
  <c r="AC47" i="14"/>
  <c r="D54" i="14"/>
  <c r="AC54" i="14"/>
  <c r="D43" i="14"/>
  <c r="AC43" i="14"/>
  <c r="D31" i="14"/>
  <c r="AC31" i="14"/>
  <c r="D51" i="14"/>
  <c r="AC51" i="14"/>
  <c r="D34" i="14"/>
  <c r="AC34" i="14"/>
  <c r="D61" i="14"/>
  <c r="AC61" i="14"/>
  <c r="D28" i="14"/>
  <c r="AC28" i="14"/>
  <c r="D49" i="14"/>
  <c r="AC49" i="14"/>
  <c r="D39" i="14"/>
  <c r="AC39" i="14"/>
  <c r="D48" i="14"/>
  <c r="AC48" i="14"/>
  <c r="D27" i="14"/>
  <c r="AC27" i="14"/>
  <c r="D55" i="14"/>
  <c r="AC55" i="14"/>
  <c r="D41" i="14"/>
  <c r="AC41" i="14"/>
  <c r="D40" i="14"/>
  <c r="AC40" i="14"/>
  <c r="D26" i="14"/>
  <c r="AC26" i="14"/>
  <c r="D50" i="14"/>
  <c r="AC50" i="14"/>
  <c r="D56" i="14"/>
  <c r="AC56" i="14"/>
  <c r="D59" i="14"/>
  <c r="AC59" i="14"/>
  <c r="D33" i="14"/>
  <c r="AC33" i="14"/>
  <c r="D36" i="14"/>
  <c r="AC36" i="14"/>
  <c r="D35" i="14"/>
  <c r="AC35" i="14"/>
  <c r="D44" i="14"/>
  <c r="AC44" i="14"/>
  <c r="D30" i="14"/>
  <c r="AC30" i="14"/>
  <c r="H19" i="14"/>
  <c r="H13" i="53"/>
  <c r="N19" i="14"/>
  <c r="F13" i="53"/>
  <c r="E13" i="53"/>
  <c r="L19" i="14"/>
  <c r="U19" i="14"/>
  <c r="V19" i="14" s="1"/>
  <c r="N19" i="43"/>
  <c r="A66" i="53"/>
  <c r="T35" i="49"/>
  <c r="F38" i="49"/>
  <c r="K48" i="14" s="1"/>
  <c r="C45" i="14"/>
  <c r="AB45" i="14" s="1"/>
  <c r="E53" i="49"/>
  <c r="M63" i="14" s="1"/>
  <c r="K63" i="14"/>
  <c r="T41" i="49"/>
  <c r="T49" i="49"/>
  <c r="F27" i="49"/>
  <c r="E27" i="49" s="1"/>
  <c r="M37" i="14" s="1"/>
  <c r="C58" i="14"/>
  <c r="AB58" i="14" s="1"/>
  <c r="F35" i="49"/>
  <c r="E35" i="49" s="1"/>
  <c r="M45" i="14" s="1"/>
  <c r="T50" i="49"/>
  <c r="F63" i="14"/>
  <c r="S26" i="14"/>
  <c r="F16" i="49"/>
  <c r="K26" i="14" s="1"/>
  <c r="T36" i="49"/>
  <c r="T27" i="49"/>
  <c r="T48" i="49"/>
  <c r="F45" i="49"/>
  <c r="K55" i="14" s="1"/>
  <c r="C32" i="14"/>
  <c r="AB32" i="14" s="1"/>
  <c r="T38" i="49"/>
  <c r="F41" i="49"/>
  <c r="K51" i="14" s="1"/>
  <c r="T16" i="49"/>
  <c r="T17" i="49"/>
  <c r="F49" i="49"/>
  <c r="K59" i="14" s="1"/>
  <c r="C46" i="14"/>
  <c r="AB46" i="14" s="1"/>
  <c r="C37" i="14"/>
  <c r="AB37" i="14" s="1"/>
  <c r="F48" i="49"/>
  <c r="K58" i="14" s="1"/>
  <c r="T45" i="49"/>
  <c r="C60" i="14"/>
  <c r="AB60" i="14" s="1"/>
  <c r="T22" i="49"/>
  <c r="H17" i="14"/>
  <c r="S17" i="14"/>
  <c r="T17" i="14" s="1"/>
  <c r="AH75" i="12"/>
  <c r="AE74" i="12"/>
  <c r="F53" i="14"/>
  <c r="B39" i="43"/>
  <c r="F27" i="14"/>
  <c r="H27" i="14" s="1"/>
  <c r="F57" i="14"/>
  <c r="F36" i="14"/>
  <c r="F61" i="14"/>
  <c r="F47" i="14"/>
  <c r="F54" i="14"/>
  <c r="B31" i="43"/>
  <c r="F30" i="14"/>
  <c r="H30" i="14" s="1"/>
  <c r="B32" i="43"/>
  <c r="F31" i="14"/>
  <c r="F42" i="14"/>
  <c r="F40" i="14"/>
  <c r="F50" i="14"/>
  <c r="F51" i="14"/>
  <c r="B27" i="43"/>
  <c r="F26" i="14"/>
  <c r="F59" i="14"/>
  <c r="B29" i="43"/>
  <c r="F28" i="14"/>
  <c r="H28" i="14" s="1"/>
  <c r="F43" i="14"/>
  <c r="B35" i="43"/>
  <c r="F34" i="14"/>
  <c r="F56" i="14"/>
  <c r="F52" i="14"/>
  <c r="F49" i="14"/>
  <c r="F41" i="14"/>
  <c r="B26" i="43"/>
  <c r="F25" i="14"/>
  <c r="H25" i="14" s="1"/>
  <c r="F38" i="14"/>
  <c r="F44" i="14"/>
  <c r="B40" i="43"/>
  <c r="F39" i="14"/>
  <c r="B30" i="43"/>
  <c r="F29" i="14"/>
  <c r="F33" i="14"/>
  <c r="H33" i="14" s="1"/>
  <c r="F48" i="14"/>
  <c r="F35" i="14"/>
  <c r="F55" i="14"/>
  <c r="B28" i="43"/>
  <c r="B34" i="43"/>
  <c r="B41" i="43"/>
  <c r="E22" i="49"/>
  <c r="M32" i="14" s="1"/>
  <c r="K32" i="14"/>
  <c r="K31" i="14"/>
  <c r="E21" i="49"/>
  <c r="M31" i="14" s="1"/>
  <c r="B37" i="43"/>
  <c r="B36" i="43"/>
  <c r="K34" i="14"/>
  <c r="E24" i="49"/>
  <c r="M34" i="14" s="1"/>
  <c r="K56" i="14"/>
  <c r="E46" i="49"/>
  <c r="M56" i="14" s="1"/>
  <c r="K46" i="14"/>
  <c r="E36" i="49"/>
  <c r="M46" i="14" s="1"/>
  <c r="E47" i="49"/>
  <c r="M57" i="14" s="1"/>
  <c r="K57" i="14"/>
  <c r="K36" i="14"/>
  <c r="E26" i="49"/>
  <c r="M36" i="14" s="1"/>
  <c r="K42" i="14"/>
  <c r="E32" i="49"/>
  <c r="M42" i="14" s="1"/>
  <c r="K52" i="14"/>
  <c r="E42" i="49"/>
  <c r="M52" i="14" s="1"/>
  <c r="E31" i="49"/>
  <c r="M41" i="14" s="1"/>
  <c r="K41" i="14"/>
  <c r="K60" i="14"/>
  <c r="E50" i="49"/>
  <c r="M60" i="14" s="1"/>
  <c r="E43" i="49"/>
  <c r="M53" i="14" s="1"/>
  <c r="K53" i="14"/>
  <c r="K38" i="14"/>
  <c r="E28" i="49"/>
  <c r="M38" i="14" s="1"/>
  <c r="E51" i="49"/>
  <c r="M61" i="14" s="1"/>
  <c r="K61" i="14"/>
  <c r="K47" i="14"/>
  <c r="E37" i="49"/>
  <c r="M47" i="14" s="1"/>
  <c r="K30" i="14"/>
  <c r="E20" i="49"/>
  <c r="M30" i="14" s="1"/>
  <c r="K39" i="14"/>
  <c r="E29" i="49"/>
  <c r="M39" i="14" s="1"/>
  <c r="E19" i="49"/>
  <c r="M29" i="14" s="1"/>
  <c r="K29" i="14"/>
  <c r="K27" i="14"/>
  <c r="E17" i="49"/>
  <c r="M27" i="14" s="1"/>
  <c r="E23" i="49"/>
  <c r="M33" i="14" s="1"/>
  <c r="K33" i="14"/>
  <c r="E39" i="49"/>
  <c r="M49" i="14" s="1"/>
  <c r="K49" i="14"/>
  <c r="K40" i="14"/>
  <c r="E30" i="49"/>
  <c r="M40" i="14" s="1"/>
  <c r="K50" i="14"/>
  <c r="E40" i="49"/>
  <c r="M50" i="14" s="1"/>
  <c r="K28" i="14"/>
  <c r="E18" i="49"/>
  <c r="M28" i="14" s="1"/>
  <c r="K35" i="14"/>
  <c r="E25" i="49"/>
  <c r="M35" i="14" s="1"/>
  <c r="K54" i="14"/>
  <c r="E44" i="49"/>
  <c r="M54" i="14" s="1"/>
  <c r="K43" i="14"/>
  <c r="E33" i="49"/>
  <c r="M43" i="14" s="1"/>
  <c r="K44" i="14"/>
  <c r="E34" i="49"/>
  <c r="M44" i="14" s="1"/>
  <c r="S18" i="14"/>
  <c r="T18" i="14" s="1"/>
  <c r="S19" i="14"/>
  <c r="T19" i="14" s="1"/>
  <c r="J19" i="43"/>
  <c r="D12" i="49"/>
  <c r="G22" i="14" s="1"/>
  <c r="U8" i="49"/>
  <c r="U9" i="49"/>
  <c r="E15" i="49"/>
  <c r="M25" i="14" s="1"/>
  <c r="K25" i="14"/>
  <c r="C24" i="14"/>
  <c r="AB24" i="14" s="1"/>
  <c r="F14" i="49"/>
  <c r="T14" i="49"/>
  <c r="AF76" i="12"/>
  <c r="M17" i="49"/>
  <c r="N43" i="49"/>
  <c r="M82" i="12"/>
  <c r="AC75" i="12"/>
  <c r="AE75" i="12" s="1"/>
  <c r="L16" i="49"/>
  <c r="I41" i="43"/>
  <c r="M41" i="43"/>
  <c r="H41" i="43"/>
  <c r="E41" i="43"/>
  <c r="D41" i="43"/>
  <c r="L41" i="43"/>
  <c r="D41" i="41"/>
  <c r="H41" i="41"/>
  <c r="M41" i="41"/>
  <c r="I41" i="41"/>
  <c r="E41" i="41"/>
  <c r="L41" i="41"/>
  <c r="A37" i="28"/>
  <c r="A42" i="43"/>
  <c r="A42" i="41"/>
  <c r="S25" i="14"/>
  <c r="CC69" i="12"/>
  <c r="CC70" i="12" s="1"/>
  <c r="CC71" i="12" s="1"/>
  <c r="CC72" i="12" s="1"/>
  <c r="CC73" i="12" s="1"/>
  <c r="CC74" i="12" s="1"/>
  <c r="CC75" i="12" s="1"/>
  <c r="CC76" i="12" s="1"/>
  <c r="CC77" i="12" s="1"/>
  <c r="CC78" i="12" s="1"/>
  <c r="CC79" i="12" s="1"/>
  <c r="CC80" i="12" s="1"/>
  <c r="CC81" i="12" s="1"/>
  <c r="CC82" i="12" s="1"/>
  <c r="CC83" i="12" s="1"/>
  <c r="CC84" i="12" s="1"/>
  <c r="CC85" i="12" s="1"/>
  <c r="CC86" i="12" s="1"/>
  <c r="CC87" i="12" s="1"/>
  <c r="CC88" i="12" s="1"/>
  <c r="CC89" i="12" s="1"/>
  <c r="CC90" i="12" s="1"/>
  <c r="CC91" i="12" s="1"/>
  <c r="CC92" i="12" s="1"/>
  <c r="CC93" i="12" s="1"/>
  <c r="CC94" i="12" s="1"/>
  <c r="CC95" i="12" s="1"/>
  <c r="CC96" i="12" s="1"/>
  <c r="CC97" i="12" s="1"/>
  <c r="CC98" i="12" s="1"/>
  <c r="CC99" i="12" s="1"/>
  <c r="CC100" i="12" s="1"/>
  <c r="CC101" i="12" s="1"/>
  <c r="CC102" i="12" s="1"/>
  <c r="CC103" i="12" s="1"/>
  <c r="CC104" i="12" s="1"/>
  <c r="CC105" i="12" s="1"/>
  <c r="CC106" i="12" s="1"/>
  <c r="CC107" i="12" s="1"/>
  <c r="CC108" i="12" s="1"/>
  <c r="CC109" i="12" s="1"/>
  <c r="CC110" i="12" s="1"/>
  <c r="CC111" i="12" s="1"/>
  <c r="CC112" i="12" s="1"/>
  <c r="CC113" i="12" s="1"/>
  <c r="CC114" i="12" s="1"/>
  <c r="CC115" i="12" s="1"/>
  <c r="CC116" i="12" s="1"/>
  <c r="CC117" i="12" s="1"/>
  <c r="CC118" i="12" s="1"/>
  <c r="CC119" i="12" s="1"/>
  <c r="CC120" i="12" s="1"/>
  <c r="CC121" i="12" s="1"/>
  <c r="CC122" i="12" s="1"/>
  <c r="CC123" i="12" s="1"/>
  <c r="CC124" i="12" s="1"/>
  <c r="CC125" i="12" s="1"/>
  <c r="CC126" i="12" s="1"/>
  <c r="CC127" i="12" s="1"/>
  <c r="CC128" i="12" s="1"/>
  <c r="CC129" i="12" s="1"/>
  <c r="CC130" i="12" s="1"/>
  <c r="CC131" i="12" s="1"/>
  <c r="CC132" i="12" s="1"/>
  <c r="CC133" i="12" s="1"/>
  <c r="CC134" i="12" s="1"/>
  <c r="CC135" i="12" s="1"/>
  <c r="CC136" i="12" s="1"/>
  <c r="CC137" i="12" s="1"/>
  <c r="CC138" i="12" s="1"/>
  <c r="CC139" i="12" s="1"/>
  <c r="CC140" i="12" s="1"/>
  <c r="CC141" i="12" s="1"/>
  <c r="CC142" i="12" s="1"/>
  <c r="CC143" i="12" s="1"/>
  <c r="CC144" i="12" s="1"/>
  <c r="CC145" i="12" s="1"/>
  <c r="CC146" i="12" s="1"/>
  <c r="CC147" i="12" s="1"/>
  <c r="CC148" i="12" s="1"/>
  <c r="CD69" i="12"/>
  <c r="CD70" i="12" s="1"/>
  <c r="CD71" i="12" s="1"/>
  <c r="CD72" i="12" s="1"/>
  <c r="CD73" i="12" s="1"/>
  <c r="CD74" i="12" s="1"/>
  <c r="CD75" i="12" s="1"/>
  <c r="CD76" i="12" s="1"/>
  <c r="CD77" i="12" s="1"/>
  <c r="CD78" i="12" s="1"/>
  <c r="CD79" i="12" s="1"/>
  <c r="CD80" i="12" s="1"/>
  <c r="CD81" i="12" s="1"/>
  <c r="CD82" i="12" s="1"/>
  <c r="CD83" i="12" s="1"/>
  <c r="CD84" i="12" s="1"/>
  <c r="CD85" i="12" s="1"/>
  <c r="CD86" i="12" s="1"/>
  <c r="CD87" i="12" s="1"/>
  <c r="CD88" i="12" s="1"/>
  <c r="CD89" i="12" s="1"/>
  <c r="CD90" i="12" s="1"/>
  <c r="CD91" i="12" s="1"/>
  <c r="CD92" i="12" s="1"/>
  <c r="CD93" i="12" s="1"/>
  <c r="CD94" i="12" s="1"/>
  <c r="CD95" i="12" s="1"/>
  <c r="CD96" i="12" s="1"/>
  <c r="CD97" i="12" s="1"/>
  <c r="CD98" i="12" s="1"/>
  <c r="CD99" i="12" s="1"/>
  <c r="CD100" i="12" s="1"/>
  <c r="CD101" i="12" s="1"/>
  <c r="CD102" i="12" s="1"/>
  <c r="CD103" i="12" s="1"/>
  <c r="CD104" i="12" s="1"/>
  <c r="CD105" i="12" s="1"/>
  <c r="CD106" i="12" s="1"/>
  <c r="CD107" i="12" s="1"/>
  <c r="CD108" i="12" s="1"/>
  <c r="CD109" i="12" s="1"/>
  <c r="CD110" i="12" s="1"/>
  <c r="CD111" i="12" s="1"/>
  <c r="CD112" i="12" s="1"/>
  <c r="CD113" i="12" s="1"/>
  <c r="CD114" i="12" s="1"/>
  <c r="CD115" i="12" s="1"/>
  <c r="CD116" i="12" s="1"/>
  <c r="CD117" i="12" s="1"/>
  <c r="CD118" i="12" s="1"/>
  <c r="CD119" i="12" s="1"/>
  <c r="CD120" i="12" s="1"/>
  <c r="CD121" i="12" s="1"/>
  <c r="CD122" i="12" s="1"/>
  <c r="CD123" i="12" s="1"/>
  <c r="CD124" i="12" s="1"/>
  <c r="CD125" i="12" s="1"/>
  <c r="CD126" i="12" s="1"/>
  <c r="CD127" i="12" s="1"/>
  <c r="CD128" i="12" s="1"/>
  <c r="CD129" i="12" s="1"/>
  <c r="CD130" i="12" s="1"/>
  <c r="CD131" i="12" s="1"/>
  <c r="CD132" i="12" s="1"/>
  <c r="CD133" i="12" s="1"/>
  <c r="CD134" i="12" s="1"/>
  <c r="CD135" i="12" s="1"/>
  <c r="CD136" i="12" s="1"/>
  <c r="CD137" i="12" s="1"/>
  <c r="CD138" i="12" s="1"/>
  <c r="CD139" i="12" s="1"/>
  <c r="CD140" i="12" s="1"/>
  <c r="CD141" i="12" s="1"/>
  <c r="CD142" i="12" s="1"/>
  <c r="CD143" i="12" s="1"/>
  <c r="CD144" i="12" s="1"/>
  <c r="CD145" i="12" s="1"/>
  <c r="CD146" i="12" s="1"/>
  <c r="CD147" i="12" s="1"/>
  <c r="CD148" i="12" s="1"/>
  <c r="CB69" i="12"/>
  <c r="CB70" i="12" s="1"/>
  <c r="CB71" i="12" s="1"/>
  <c r="CB72" i="12" s="1"/>
  <c r="CB73" i="12" s="1"/>
  <c r="CB74" i="12" s="1"/>
  <c r="CB75" i="12" s="1"/>
  <c r="CB76" i="12" s="1"/>
  <c r="CB77" i="12" s="1"/>
  <c r="CB78" i="12" s="1"/>
  <c r="CB79" i="12" s="1"/>
  <c r="CB80" i="12" s="1"/>
  <c r="CB81" i="12" s="1"/>
  <c r="CB82" i="12" s="1"/>
  <c r="CB83" i="12" s="1"/>
  <c r="CB84" i="12" s="1"/>
  <c r="CB85" i="12" s="1"/>
  <c r="CB86" i="12" s="1"/>
  <c r="CB87" i="12" s="1"/>
  <c r="CB88" i="12" s="1"/>
  <c r="CB89" i="12" s="1"/>
  <c r="CB90" i="12" s="1"/>
  <c r="CB91" i="12" s="1"/>
  <c r="CB92" i="12" s="1"/>
  <c r="CB93" i="12" s="1"/>
  <c r="CB94" i="12" s="1"/>
  <c r="CB95" i="12" s="1"/>
  <c r="CB96" i="12" s="1"/>
  <c r="CB97" i="12" s="1"/>
  <c r="CB98" i="12" s="1"/>
  <c r="CB99" i="12" s="1"/>
  <c r="CB100" i="12" s="1"/>
  <c r="CB101" i="12" s="1"/>
  <c r="CB102" i="12" s="1"/>
  <c r="CB103" i="12" s="1"/>
  <c r="CB104" i="12" s="1"/>
  <c r="CB105" i="12" s="1"/>
  <c r="CB106" i="12" s="1"/>
  <c r="CB107" i="12" s="1"/>
  <c r="CB108" i="12" s="1"/>
  <c r="CB109" i="12" s="1"/>
  <c r="CB110" i="12" s="1"/>
  <c r="CB111" i="12" s="1"/>
  <c r="CB112" i="12" s="1"/>
  <c r="CB113" i="12" s="1"/>
  <c r="CB114" i="12" s="1"/>
  <c r="CB115" i="12" s="1"/>
  <c r="CB116" i="12" s="1"/>
  <c r="CB117" i="12" s="1"/>
  <c r="CB118" i="12" s="1"/>
  <c r="CB119" i="12" s="1"/>
  <c r="CB120" i="12" s="1"/>
  <c r="CB121" i="12" s="1"/>
  <c r="CB122" i="12" s="1"/>
  <c r="CB123" i="12" s="1"/>
  <c r="CB124" i="12" s="1"/>
  <c r="CB125" i="12" s="1"/>
  <c r="CB126" i="12" s="1"/>
  <c r="CB127" i="12" s="1"/>
  <c r="CB128" i="12" s="1"/>
  <c r="CB129" i="12" s="1"/>
  <c r="CB130" i="12" s="1"/>
  <c r="CB131" i="12" s="1"/>
  <c r="CB132" i="12" s="1"/>
  <c r="CB133" i="12" s="1"/>
  <c r="CB134" i="12" s="1"/>
  <c r="CB135" i="12" s="1"/>
  <c r="CB136" i="12" s="1"/>
  <c r="CB137" i="12" s="1"/>
  <c r="CB138" i="12" s="1"/>
  <c r="CB139" i="12" s="1"/>
  <c r="CB140" i="12" s="1"/>
  <c r="CB141" i="12" s="1"/>
  <c r="CB142" i="12" s="1"/>
  <c r="CB143" i="12" s="1"/>
  <c r="CB144" i="12" s="1"/>
  <c r="CB145" i="12" s="1"/>
  <c r="CB146" i="12" s="1"/>
  <c r="CB147" i="12" s="1"/>
  <c r="CB148" i="12" s="1"/>
  <c r="H56" i="52" l="1"/>
  <c r="J20" i="43"/>
  <c r="D60" i="14"/>
  <c r="AC60" i="14"/>
  <c r="D46" i="14"/>
  <c r="AC46" i="14"/>
  <c r="D58" i="14"/>
  <c r="AC58" i="14"/>
  <c r="D32" i="14"/>
  <c r="AC32" i="14"/>
  <c r="D45" i="14"/>
  <c r="AC45" i="14"/>
  <c r="D24" i="14"/>
  <c r="AC24" i="14"/>
  <c r="D37" i="14"/>
  <c r="AC37" i="14"/>
  <c r="H14" i="53"/>
  <c r="F14" i="53"/>
  <c r="I14" i="53"/>
  <c r="V9" i="49"/>
  <c r="Z9" i="49"/>
  <c r="V8" i="49"/>
  <c r="Z8" i="49"/>
  <c r="N20" i="43"/>
  <c r="E14" i="53"/>
  <c r="A67" i="53"/>
  <c r="S27" i="14"/>
  <c r="E16" i="49"/>
  <c r="M26" i="14" s="1"/>
  <c r="N26" i="14" s="1"/>
  <c r="B38" i="43"/>
  <c r="K37" i="14"/>
  <c r="F37" i="14"/>
  <c r="F58" i="14"/>
  <c r="E38" i="49"/>
  <c r="M48" i="14" s="1"/>
  <c r="I26" i="14"/>
  <c r="F60" i="14"/>
  <c r="F45" i="14"/>
  <c r="B33" i="43"/>
  <c r="E41" i="49"/>
  <c r="M51" i="14" s="1"/>
  <c r="E48" i="49"/>
  <c r="M58" i="14" s="1"/>
  <c r="K45" i="14"/>
  <c r="E45" i="49"/>
  <c r="M55" i="14" s="1"/>
  <c r="E49" i="49"/>
  <c r="M59" i="14" s="1"/>
  <c r="F46" i="14"/>
  <c r="F32" i="14"/>
  <c r="H34" i="14"/>
  <c r="N27" i="14"/>
  <c r="N25" i="14"/>
  <c r="I27" i="14"/>
  <c r="J27" i="14" s="1"/>
  <c r="I25" i="14"/>
  <c r="H29" i="14"/>
  <c r="H31" i="14"/>
  <c r="H26" i="14"/>
  <c r="AH76" i="12"/>
  <c r="F24" i="14"/>
  <c r="I24" i="14" s="1"/>
  <c r="U26" i="14"/>
  <c r="U27" i="14"/>
  <c r="U28" i="14"/>
  <c r="S24" i="14"/>
  <c r="U25" i="14"/>
  <c r="K24" i="14"/>
  <c r="E14" i="49"/>
  <c r="M24" i="14" s="1"/>
  <c r="B25" i="43"/>
  <c r="H15" i="49"/>
  <c r="I15" i="49" s="1"/>
  <c r="F13" i="49"/>
  <c r="C23" i="14"/>
  <c r="AB23" i="14" s="1"/>
  <c r="T13" i="49"/>
  <c r="D11" i="49"/>
  <c r="G21" i="14" s="1"/>
  <c r="M83" i="12"/>
  <c r="H35" i="14" s="1"/>
  <c r="AC76" i="12"/>
  <c r="AF77" i="12"/>
  <c r="M18" i="49"/>
  <c r="N44" i="49"/>
  <c r="A38" i="28"/>
  <c r="A43" i="43"/>
  <c r="A43" i="41"/>
  <c r="M42" i="43"/>
  <c r="L42" i="43"/>
  <c r="I42" i="43"/>
  <c r="H42" i="43"/>
  <c r="E42" i="43"/>
  <c r="D42" i="43"/>
  <c r="B42" i="43"/>
  <c r="E42" i="41"/>
  <c r="M42" i="41"/>
  <c r="I42" i="41"/>
  <c r="D42" i="41"/>
  <c r="L42" i="41"/>
  <c r="H42" i="41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69" i="12"/>
  <c r="V27" i="14" l="1"/>
  <c r="V28" i="14" s="1"/>
  <c r="T27" i="14"/>
  <c r="L17" i="49"/>
  <c r="H17" i="49" s="1"/>
  <c r="I17" i="49" s="1"/>
  <c r="H16" i="49"/>
  <c r="D23" i="14"/>
  <c r="AC23" i="14"/>
  <c r="I22" i="53"/>
  <c r="A68" i="53"/>
  <c r="E119" i="12"/>
  <c r="BD119" i="12" s="1"/>
  <c r="T119" i="12"/>
  <c r="T120" i="12" s="1"/>
  <c r="T121" i="12" s="1"/>
  <c r="T122" i="12" s="1"/>
  <c r="T123" i="12" s="1"/>
  <c r="T124" i="12" s="1"/>
  <c r="T125" i="12" s="1"/>
  <c r="T126" i="12" s="1"/>
  <c r="T127" i="12" s="1"/>
  <c r="T128" i="12" s="1"/>
  <c r="T129" i="12" s="1"/>
  <c r="T130" i="12" s="1"/>
  <c r="T131" i="12" s="1"/>
  <c r="T132" i="12" s="1"/>
  <c r="T133" i="12" s="1"/>
  <c r="T134" i="12" s="1"/>
  <c r="T135" i="12" s="1"/>
  <c r="T136" i="12" s="1"/>
  <c r="T137" i="12" s="1"/>
  <c r="T138" i="12" s="1"/>
  <c r="T139" i="12" s="1"/>
  <c r="T140" i="12" s="1"/>
  <c r="T141" i="12" s="1"/>
  <c r="T142" i="12" s="1"/>
  <c r="T143" i="12" s="1"/>
  <c r="T144" i="12" s="1"/>
  <c r="T145" i="12" s="1"/>
  <c r="T146" i="12" s="1"/>
  <c r="T147" i="12" s="1"/>
  <c r="T148" i="12" s="1"/>
  <c r="X67" i="14"/>
  <c r="Y67" i="14" s="1"/>
  <c r="N28" i="14"/>
  <c r="H32" i="14"/>
  <c r="N24" i="14"/>
  <c r="H24" i="14"/>
  <c r="AH77" i="12"/>
  <c r="AE76" i="12"/>
  <c r="I28" i="14" s="1"/>
  <c r="F23" i="14"/>
  <c r="I23" i="14" s="1"/>
  <c r="J23" i="14" s="1"/>
  <c r="J24" i="14" s="1"/>
  <c r="J25" i="14" s="1"/>
  <c r="J26" i="14" s="1"/>
  <c r="H21" i="53" s="1"/>
  <c r="H14" i="49"/>
  <c r="K23" i="14"/>
  <c r="E13" i="49"/>
  <c r="M23" i="14" s="1"/>
  <c r="U24" i="14"/>
  <c r="F12" i="49"/>
  <c r="C22" i="14"/>
  <c r="AB22" i="14" s="1"/>
  <c r="T12" i="49"/>
  <c r="S23" i="14"/>
  <c r="U15" i="49"/>
  <c r="B24" i="43"/>
  <c r="N45" i="49"/>
  <c r="AF78" i="12"/>
  <c r="AH78" i="12" s="1"/>
  <c r="M19" i="49"/>
  <c r="U29" i="14"/>
  <c r="V29" i="14" s="1"/>
  <c r="M84" i="12"/>
  <c r="H36" i="14" s="1"/>
  <c r="AC77" i="12"/>
  <c r="S28" i="14"/>
  <c r="I43" i="41"/>
  <c r="M43" i="41"/>
  <c r="H43" i="41"/>
  <c r="E43" i="41"/>
  <c r="L43" i="41"/>
  <c r="D43" i="41"/>
  <c r="D43" i="43"/>
  <c r="M43" i="43"/>
  <c r="L43" i="43"/>
  <c r="I43" i="43"/>
  <c r="H43" i="43"/>
  <c r="E43" i="43"/>
  <c r="B43" i="43"/>
  <c r="A39" i="28"/>
  <c r="A44" i="43"/>
  <c r="A44" i="41"/>
  <c r="BJ69" i="12"/>
  <c r="BJ70" i="12" s="1"/>
  <c r="BJ71" i="12" s="1"/>
  <c r="BJ72" i="12" s="1"/>
  <c r="BJ73" i="12" s="1"/>
  <c r="BJ74" i="12" s="1"/>
  <c r="BJ75" i="12" s="1"/>
  <c r="BJ76" i="12" s="1"/>
  <c r="BJ77" i="12" s="1"/>
  <c r="BJ78" i="12" s="1"/>
  <c r="BJ79" i="12" s="1"/>
  <c r="BJ80" i="12" s="1"/>
  <c r="BJ81" i="12" s="1"/>
  <c r="BJ82" i="12" s="1"/>
  <c r="BJ83" i="12" s="1"/>
  <c r="BJ84" i="12" s="1"/>
  <c r="BJ85" i="12" s="1"/>
  <c r="BJ86" i="12" s="1"/>
  <c r="BJ87" i="12" s="1"/>
  <c r="BJ88" i="12" s="1"/>
  <c r="BJ89" i="12" s="1"/>
  <c r="BJ90" i="12" s="1"/>
  <c r="BJ91" i="12" s="1"/>
  <c r="BJ92" i="12" s="1"/>
  <c r="BJ93" i="12" s="1"/>
  <c r="BJ94" i="12" s="1"/>
  <c r="BJ95" i="12" s="1"/>
  <c r="BJ96" i="12" s="1"/>
  <c r="BJ97" i="12" s="1"/>
  <c r="BJ98" i="12" s="1"/>
  <c r="BJ99" i="12" s="1"/>
  <c r="BJ100" i="12" s="1"/>
  <c r="BJ101" i="12" s="1"/>
  <c r="BJ102" i="12" s="1"/>
  <c r="BJ103" i="12" s="1"/>
  <c r="BJ104" i="12" s="1"/>
  <c r="BJ105" i="12" s="1"/>
  <c r="BJ106" i="12" s="1"/>
  <c r="BJ107" i="12" s="1"/>
  <c r="BJ108" i="12" s="1"/>
  <c r="BJ109" i="12" s="1"/>
  <c r="BJ110" i="12" s="1"/>
  <c r="BJ111" i="12" s="1"/>
  <c r="BJ112" i="12" s="1"/>
  <c r="BJ113" i="12" s="1"/>
  <c r="BJ114" i="12" s="1"/>
  <c r="BJ115" i="12" s="1"/>
  <c r="BJ116" i="12" s="1"/>
  <c r="BJ117" i="12" s="1"/>
  <c r="BJ118" i="12" s="1"/>
  <c r="J28" i="14" l="1"/>
  <c r="H23" i="53" s="1"/>
  <c r="T28" i="14"/>
  <c r="H20" i="53"/>
  <c r="U14" i="49"/>
  <c r="I14" i="49"/>
  <c r="I16" i="49"/>
  <c r="Z16" i="49" s="1"/>
  <c r="U17" i="49"/>
  <c r="L18" i="49"/>
  <c r="H18" i="49" s="1"/>
  <c r="I18" i="49" s="1"/>
  <c r="U16" i="49"/>
  <c r="X119" i="12"/>
  <c r="X120" i="12" s="1"/>
  <c r="X121" i="12" s="1"/>
  <c r="X122" i="12" s="1"/>
  <c r="X123" i="12" s="1"/>
  <c r="X124" i="12" s="1"/>
  <c r="X125" i="12" s="1"/>
  <c r="X126" i="12" s="1"/>
  <c r="X127" i="12" s="1"/>
  <c r="X128" i="12" s="1"/>
  <c r="X129" i="12" s="1"/>
  <c r="X130" i="12" s="1"/>
  <c r="X131" i="12" s="1"/>
  <c r="X132" i="12" s="1"/>
  <c r="X133" i="12" s="1"/>
  <c r="X134" i="12" s="1"/>
  <c r="X135" i="12" s="1"/>
  <c r="X136" i="12" s="1"/>
  <c r="X137" i="12" s="1"/>
  <c r="X138" i="12" s="1"/>
  <c r="X139" i="12" s="1"/>
  <c r="X140" i="12" s="1"/>
  <c r="X141" i="12" s="1"/>
  <c r="X142" i="12" s="1"/>
  <c r="X143" i="12" s="1"/>
  <c r="X144" i="12" s="1"/>
  <c r="X145" i="12" s="1"/>
  <c r="X146" i="12" s="1"/>
  <c r="X147" i="12" s="1"/>
  <c r="X148" i="12" s="1"/>
  <c r="D22" i="14"/>
  <c r="AC22" i="14"/>
  <c r="S119" i="12"/>
  <c r="W119" i="12" s="1"/>
  <c r="N27" i="43"/>
  <c r="D119" i="12"/>
  <c r="G119" i="12" s="1"/>
  <c r="V17" i="49"/>
  <c r="Z17" i="49"/>
  <c r="V15" i="49"/>
  <c r="Z15" i="49"/>
  <c r="BA119" i="12"/>
  <c r="N28" i="43"/>
  <c r="E120" i="12"/>
  <c r="E121" i="12" s="1"/>
  <c r="E122" i="12" s="1"/>
  <c r="E123" i="12" s="1"/>
  <c r="E124" i="12" s="1"/>
  <c r="E125" i="12" s="1"/>
  <c r="E126" i="12" s="1"/>
  <c r="E127" i="12" s="1"/>
  <c r="E128" i="12" s="1"/>
  <c r="E129" i="12" s="1"/>
  <c r="E130" i="12" s="1"/>
  <c r="E131" i="12" s="1"/>
  <c r="E132" i="12" s="1"/>
  <c r="E133" i="12" s="1"/>
  <c r="E134" i="12" s="1"/>
  <c r="E135" i="12" s="1"/>
  <c r="E136" i="12" s="1"/>
  <c r="E137" i="12" s="1"/>
  <c r="E138" i="12" s="1"/>
  <c r="E139" i="12" s="1"/>
  <c r="E140" i="12" s="1"/>
  <c r="E141" i="12" s="1"/>
  <c r="E142" i="12" s="1"/>
  <c r="E143" i="12" s="1"/>
  <c r="E144" i="12" s="1"/>
  <c r="E145" i="12" s="1"/>
  <c r="E146" i="12" s="1"/>
  <c r="E147" i="12" s="1"/>
  <c r="E148" i="12" s="1"/>
  <c r="N26" i="43"/>
  <c r="H19" i="53"/>
  <c r="I20" i="53"/>
  <c r="I21" i="53"/>
  <c r="I19" i="53"/>
  <c r="H22" i="53"/>
  <c r="A69" i="53"/>
  <c r="Z67" i="14"/>
  <c r="X66" i="14"/>
  <c r="Y66" i="14" s="1"/>
  <c r="N25" i="43"/>
  <c r="N29" i="14"/>
  <c r="N23" i="14"/>
  <c r="H23" i="14"/>
  <c r="AE77" i="12"/>
  <c r="I29" i="14" s="1"/>
  <c r="F22" i="14"/>
  <c r="H22" i="14" s="1"/>
  <c r="Y119" i="12"/>
  <c r="Y120" i="12" s="1"/>
  <c r="Y121" i="12" s="1"/>
  <c r="Y122" i="12" s="1"/>
  <c r="Y123" i="12" s="1"/>
  <c r="Y124" i="12" s="1"/>
  <c r="Y125" i="12" s="1"/>
  <c r="Y126" i="12" s="1"/>
  <c r="Y127" i="12" s="1"/>
  <c r="Y128" i="12" s="1"/>
  <c r="Y129" i="12" s="1"/>
  <c r="Y130" i="12" s="1"/>
  <c r="Y131" i="12" s="1"/>
  <c r="Y132" i="12" s="1"/>
  <c r="Y133" i="12" s="1"/>
  <c r="Y134" i="12" s="1"/>
  <c r="Y135" i="12" s="1"/>
  <c r="Y136" i="12" s="1"/>
  <c r="Y137" i="12" s="1"/>
  <c r="Y138" i="12" s="1"/>
  <c r="Y139" i="12" s="1"/>
  <c r="Y140" i="12" s="1"/>
  <c r="Y141" i="12" s="1"/>
  <c r="Y142" i="12" s="1"/>
  <c r="Y143" i="12" s="1"/>
  <c r="Y144" i="12" s="1"/>
  <c r="Y145" i="12" s="1"/>
  <c r="Y146" i="12" s="1"/>
  <c r="Y147" i="12" s="1"/>
  <c r="Y148" i="12" s="1"/>
  <c r="Z70" i="12"/>
  <c r="H13" i="49"/>
  <c r="I13" i="49" s="1"/>
  <c r="K22" i="14"/>
  <c r="E12" i="49"/>
  <c r="M22" i="14" s="1"/>
  <c r="U23" i="14"/>
  <c r="S22" i="14"/>
  <c r="F11" i="49"/>
  <c r="C21" i="14"/>
  <c r="AB21" i="14" s="1"/>
  <c r="P11" i="49"/>
  <c r="T11" i="49"/>
  <c r="B23" i="43"/>
  <c r="AC78" i="12"/>
  <c r="S29" i="14"/>
  <c r="T29" i="14" s="1"/>
  <c r="M85" i="12"/>
  <c r="H37" i="14" s="1"/>
  <c r="AF79" i="12"/>
  <c r="AH79" i="12" s="1"/>
  <c r="M20" i="49"/>
  <c r="U30" i="14"/>
  <c r="V30" i="14" s="1"/>
  <c r="N46" i="49"/>
  <c r="A40" i="28"/>
  <c r="A45" i="43"/>
  <c r="A45" i="41"/>
  <c r="E44" i="43"/>
  <c r="M44" i="43"/>
  <c r="L44" i="43"/>
  <c r="I44" i="43"/>
  <c r="D44" i="43"/>
  <c r="H44" i="43"/>
  <c r="B44" i="43"/>
  <c r="L44" i="41"/>
  <c r="I44" i="41"/>
  <c r="E44" i="41"/>
  <c r="D44" i="41"/>
  <c r="H44" i="41"/>
  <c r="M44" i="41"/>
  <c r="BJ119" i="12"/>
  <c r="BG119" i="12"/>
  <c r="J29" i="14" l="1"/>
  <c r="H24" i="53" s="1"/>
  <c r="T22" i="14"/>
  <c r="T23" i="14" s="1"/>
  <c r="T24" i="14" s="1"/>
  <c r="T25" i="14" s="1"/>
  <c r="T26" i="14" s="1"/>
  <c r="V16" i="49"/>
  <c r="U18" i="49"/>
  <c r="L19" i="49"/>
  <c r="H19" i="49" s="1"/>
  <c r="I19" i="49" s="1"/>
  <c r="V119" i="12"/>
  <c r="H119" i="12" s="1"/>
  <c r="F119" i="12"/>
  <c r="D21" i="14"/>
  <c r="AC21" i="14"/>
  <c r="S120" i="12"/>
  <c r="S121" i="12" s="1"/>
  <c r="S122" i="12" s="1"/>
  <c r="S123" i="12" s="1"/>
  <c r="S124" i="12" s="1"/>
  <c r="S125" i="12" s="1"/>
  <c r="S126" i="12" s="1"/>
  <c r="S127" i="12" s="1"/>
  <c r="S128" i="12" s="1"/>
  <c r="S129" i="12" s="1"/>
  <c r="S130" i="12" s="1"/>
  <c r="S131" i="12" s="1"/>
  <c r="S132" i="12" s="1"/>
  <c r="S133" i="12" s="1"/>
  <c r="S134" i="12" s="1"/>
  <c r="S135" i="12" s="1"/>
  <c r="S136" i="12" s="1"/>
  <c r="S137" i="12" s="1"/>
  <c r="S138" i="12" s="1"/>
  <c r="S139" i="12" s="1"/>
  <c r="S140" i="12" s="1"/>
  <c r="S141" i="12" s="1"/>
  <c r="S142" i="12" s="1"/>
  <c r="S143" i="12" s="1"/>
  <c r="S144" i="12" s="1"/>
  <c r="S145" i="12" s="1"/>
  <c r="S146" i="12" s="1"/>
  <c r="S147" i="12" s="1"/>
  <c r="S148" i="12" s="1"/>
  <c r="V13" i="49"/>
  <c r="Z13" i="49"/>
  <c r="V14" i="49"/>
  <c r="Z14" i="49"/>
  <c r="V18" i="49"/>
  <c r="Z18" i="49"/>
  <c r="BD120" i="12"/>
  <c r="BJ120" i="12" s="1"/>
  <c r="D120" i="12"/>
  <c r="G120" i="12" s="1"/>
  <c r="BA120" i="12"/>
  <c r="BA121" i="12" s="1"/>
  <c r="BA122" i="12" s="1"/>
  <c r="BA123" i="12" s="1"/>
  <c r="BA124" i="12" s="1"/>
  <c r="BA125" i="12" s="1"/>
  <c r="BA126" i="12" s="1"/>
  <c r="BA127" i="12" s="1"/>
  <c r="BA128" i="12" s="1"/>
  <c r="BA129" i="12" s="1"/>
  <c r="BA130" i="12" s="1"/>
  <c r="BA131" i="12" s="1"/>
  <c r="BA132" i="12" s="1"/>
  <c r="BA133" i="12" s="1"/>
  <c r="BA134" i="12" s="1"/>
  <c r="BA135" i="12" s="1"/>
  <c r="BA136" i="12" s="1"/>
  <c r="BA137" i="12" s="1"/>
  <c r="BA138" i="12" s="1"/>
  <c r="BA139" i="12" s="1"/>
  <c r="BA140" i="12" s="1"/>
  <c r="BA141" i="12" s="1"/>
  <c r="BA142" i="12" s="1"/>
  <c r="BA143" i="12" s="1"/>
  <c r="BA144" i="12" s="1"/>
  <c r="BA145" i="12" s="1"/>
  <c r="BA146" i="12" s="1"/>
  <c r="BA147" i="12" s="1"/>
  <c r="BA148" i="12" s="1"/>
  <c r="I18" i="53"/>
  <c r="H18" i="53"/>
  <c r="I23" i="53"/>
  <c r="A70" i="53"/>
  <c r="N24" i="43"/>
  <c r="N29" i="43"/>
  <c r="X65" i="14"/>
  <c r="Y65" i="14" s="1"/>
  <c r="N30" i="14"/>
  <c r="N22" i="14"/>
  <c r="I22" i="14"/>
  <c r="J22" i="14" s="1"/>
  <c r="AE78" i="12"/>
  <c r="I30" i="14" s="1"/>
  <c r="F21" i="14"/>
  <c r="I21" i="14" s="1"/>
  <c r="J21" i="14" s="1"/>
  <c r="U13" i="49"/>
  <c r="Z71" i="12"/>
  <c r="Z72" i="12" s="1"/>
  <c r="Z73" i="12" s="1"/>
  <c r="Z74" i="12" s="1"/>
  <c r="Z75" i="12" s="1"/>
  <c r="Z76" i="12" s="1"/>
  <c r="Z77" i="12" s="1"/>
  <c r="Z78" i="12" s="1"/>
  <c r="Z79" i="12" s="1"/>
  <c r="Z80" i="12" s="1"/>
  <c r="Z81" i="12" s="1"/>
  <c r="Z82" i="12" s="1"/>
  <c r="Z83" i="12" s="1"/>
  <c r="Z84" i="12" s="1"/>
  <c r="Z85" i="12" s="1"/>
  <c r="Z86" i="12" s="1"/>
  <c r="Z87" i="12" s="1"/>
  <c r="Z88" i="12" s="1"/>
  <c r="Z89" i="12" s="1"/>
  <c r="Z90" i="12" s="1"/>
  <c r="Z91" i="12" s="1"/>
  <c r="Z92" i="12" s="1"/>
  <c r="Z93" i="12" s="1"/>
  <c r="Z94" i="12" s="1"/>
  <c r="Z95" i="12" s="1"/>
  <c r="Z96" i="12" s="1"/>
  <c r="Z97" i="12" s="1"/>
  <c r="Z98" i="12" s="1"/>
  <c r="Z99" i="12" s="1"/>
  <c r="Z100" i="12" s="1"/>
  <c r="Z101" i="12" s="1"/>
  <c r="Z102" i="12" s="1"/>
  <c r="Z103" i="12" s="1"/>
  <c r="Z104" i="12" s="1"/>
  <c r="Z105" i="12" s="1"/>
  <c r="Z106" i="12" s="1"/>
  <c r="Z107" i="12" s="1"/>
  <c r="Z108" i="12" s="1"/>
  <c r="B22" i="43"/>
  <c r="B22" i="41"/>
  <c r="S21" i="14"/>
  <c r="E11" i="49"/>
  <c r="M21" i="14" s="1"/>
  <c r="K21" i="14"/>
  <c r="U22" i="14"/>
  <c r="V22" i="14" s="1"/>
  <c r="V23" i="14" s="1"/>
  <c r="V24" i="14" s="1"/>
  <c r="V25" i="14" s="1"/>
  <c r="V26" i="14" s="1"/>
  <c r="C20" i="14"/>
  <c r="AB20" i="14" s="1"/>
  <c r="F10" i="49"/>
  <c r="T10" i="49"/>
  <c r="H62" i="52" s="1"/>
  <c r="H12" i="49"/>
  <c r="I12" i="49" s="1"/>
  <c r="N47" i="49"/>
  <c r="AC79" i="12"/>
  <c r="S30" i="14"/>
  <c r="T30" i="14" s="1"/>
  <c r="M86" i="12"/>
  <c r="H38" i="14" s="1"/>
  <c r="AF80" i="12"/>
  <c r="AH80" i="12" s="1"/>
  <c r="M21" i="49"/>
  <c r="U31" i="14"/>
  <c r="V31" i="14" s="1"/>
  <c r="I45" i="41"/>
  <c r="M45" i="41"/>
  <c r="H45" i="41"/>
  <c r="D45" i="41"/>
  <c r="E45" i="41"/>
  <c r="L45" i="41"/>
  <c r="L45" i="43"/>
  <c r="I45" i="43"/>
  <c r="M45" i="43"/>
  <c r="H45" i="43"/>
  <c r="E45" i="43"/>
  <c r="D45" i="43"/>
  <c r="B45" i="43"/>
  <c r="A41" i="28"/>
  <c r="A46" i="41"/>
  <c r="A46" i="43"/>
  <c r="W120" i="12"/>
  <c r="W121" i="12" s="1"/>
  <c r="W122" i="12" s="1"/>
  <c r="W123" i="12" s="1"/>
  <c r="W124" i="12" s="1"/>
  <c r="W125" i="12" s="1"/>
  <c r="W126" i="12" s="1"/>
  <c r="W127" i="12" s="1"/>
  <c r="W128" i="12" s="1"/>
  <c r="W129" i="12" s="1"/>
  <c r="W130" i="12" s="1"/>
  <c r="W131" i="12" s="1"/>
  <c r="W132" i="12" s="1"/>
  <c r="W133" i="12" s="1"/>
  <c r="W134" i="12" s="1"/>
  <c r="W135" i="12" s="1"/>
  <c r="W136" i="12" s="1"/>
  <c r="W137" i="12" s="1"/>
  <c r="W138" i="12" s="1"/>
  <c r="W139" i="12" s="1"/>
  <c r="W140" i="12" s="1"/>
  <c r="W141" i="12" s="1"/>
  <c r="W142" i="12" s="1"/>
  <c r="W143" i="12" s="1"/>
  <c r="W144" i="12" s="1"/>
  <c r="W145" i="12" s="1"/>
  <c r="W146" i="12" s="1"/>
  <c r="W147" i="12" s="1"/>
  <c r="W148" i="12" s="1"/>
  <c r="V120" i="12" l="1"/>
  <c r="H120" i="12" s="1"/>
  <c r="J30" i="14"/>
  <c r="H25" i="53" s="1"/>
  <c r="T21" i="14"/>
  <c r="U19" i="49"/>
  <c r="L20" i="49"/>
  <c r="H20" i="49" s="1"/>
  <c r="I20" i="49" s="1"/>
  <c r="D121" i="12"/>
  <c r="G121" i="12" s="1"/>
  <c r="D20" i="14"/>
  <c r="AC20" i="14"/>
  <c r="F120" i="12"/>
  <c r="BG120" i="12"/>
  <c r="BD121" i="12"/>
  <c r="BG121" i="12" s="1"/>
  <c r="V19" i="49"/>
  <c r="Z19" i="49"/>
  <c r="I24" i="53"/>
  <c r="I17" i="53"/>
  <c r="A71" i="53"/>
  <c r="X64" i="14"/>
  <c r="Y64" i="14" s="1"/>
  <c r="N30" i="43"/>
  <c r="N31" i="14"/>
  <c r="N21" i="14"/>
  <c r="L21" i="14"/>
  <c r="H21" i="14"/>
  <c r="AE79" i="12"/>
  <c r="I31" i="14" s="1"/>
  <c r="F20" i="14"/>
  <c r="I20" i="14" s="1"/>
  <c r="J20" i="14" s="1"/>
  <c r="Z109" i="12"/>
  <c r="Z110" i="12" s="1"/>
  <c r="Z111" i="12" s="1"/>
  <c r="Z112" i="12" s="1"/>
  <c r="Z113" i="12" s="1"/>
  <c r="Z114" i="12" s="1"/>
  <c r="Z115" i="12" s="1"/>
  <c r="Z116" i="12" s="1"/>
  <c r="Z117" i="12" s="1"/>
  <c r="Z118" i="12" s="1"/>
  <c r="Z119" i="12" s="1"/>
  <c r="Z120" i="12" s="1"/>
  <c r="Z121" i="12" s="1"/>
  <c r="Z122" i="12" s="1"/>
  <c r="Z123" i="12" s="1"/>
  <c r="Z124" i="12" s="1"/>
  <c r="Z125" i="12" s="1"/>
  <c r="Z126" i="12" s="1"/>
  <c r="Z127" i="12" s="1"/>
  <c r="Z128" i="12" s="1"/>
  <c r="Z129" i="12" s="1"/>
  <c r="Z130" i="12" s="1"/>
  <c r="Z131" i="12" s="1"/>
  <c r="Z132" i="12" s="1"/>
  <c r="Z133" i="12" s="1"/>
  <c r="Z134" i="12" s="1"/>
  <c r="Z135" i="12" s="1"/>
  <c r="Z136" i="12" s="1"/>
  <c r="Z137" i="12" s="1"/>
  <c r="Z138" i="12" s="1"/>
  <c r="Z139" i="12" s="1"/>
  <c r="Z140" i="12" s="1"/>
  <c r="Z141" i="12" s="1"/>
  <c r="Z142" i="12" s="1"/>
  <c r="Z143" i="12" s="1"/>
  <c r="Z144" i="12" s="1"/>
  <c r="Z145" i="12" s="1"/>
  <c r="Z146" i="12" s="1"/>
  <c r="Z147" i="12" s="1"/>
  <c r="Z148" i="12" s="1"/>
  <c r="B21" i="43"/>
  <c r="S20" i="14"/>
  <c r="K20" i="14"/>
  <c r="E10" i="49"/>
  <c r="M20" i="14" s="1"/>
  <c r="H11" i="49"/>
  <c r="I11" i="49" s="1"/>
  <c r="U12" i="49"/>
  <c r="U21" i="14"/>
  <c r="V21" i="14" s="1"/>
  <c r="M87" i="12"/>
  <c r="H39" i="14" s="1"/>
  <c r="AC80" i="12"/>
  <c r="S31" i="14"/>
  <c r="T31" i="14" s="1"/>
  <c r="AF81" i="12"/>
  <c r="AH81" i="12" s="1"/>
  <c r="M22" i="49"/>
  <c r="U32" i="14"/>
  <c r="V32" i="14" s="1"/>
  <c r="N48" i="49"/>
  <c r="I46" i="41"/>
  <c r="D46" i="41"/>
  <c r="L46" i="41"/>
  <c r="M46" i="41"/>
  <c r="H46" i="41"/>
  <c r="E46" i="41"/>
  <c r="A42" i="28"/>
  <c r="A47" i="41"/>
  <c r="A47" i="43"/>
  <c r="M46" i="43"/>
  <c r="L46" i="43"/>
  <c r="I46" i="43"/>
  <c r="H46" i="43"/>
  <c r="E46" i="43"/>
  <c r="D46" i="43"/>
  <c r="B46" i="43"/>
  <c r="V121" i="12"/>
  <c r="H121" i="12" s="1"/>
  <c r="D122" i="12"/>
  <c r="G122" i="12" s="1"/>
  <c r="F121" i="12" l="1"/>
  <c r="J31" i="14"/>
  <c r="T20" i="14"/>
  <c r="U20" i="49"/>
  <c r="Z20" i="49"/>
  <c r="L21" i="49"/>
  <c r="H21" i="49" s="1"/>
  <c r="I21" i="49" s="1"/>
  <c r="BJ121" i="12"/>
  <c r="BD122" i="12"/>
  <c r="V20" i="49"/>
  <c r="V12" i="49"/>
  <c r="Z12" i="49"/>
  <c r="I16" i="53"/>
  <c r="H17" i="53"/>
  <c r="I25" i="53"/>
  <c r="H16" i="53"/>
  <c r="F16" i="53"/>
  <c r="E16" i="53"/>
  <c r="I26" i="53"/>
  <c r="A72" i="53"/>
  <c r="N22" i="43"/>
  <c r="X63" i="14"/>
  <c r="Y63" i="14" s="1"/>
  <c r="N22" i="41"/>
  <c r="N23" i="43"/>
  <c r="N31" i="43"/>
  <c r="H16" i="28"/>
  <c r="I16" i="28"/>
  <c r="N32" i="14"/>
  <c r="N20" i="14"/>
  <c r="L20" i="14"/>
  <c r="H20" i="14"/>
  <c r="AE80" i="12"/>
  <c r="I32" i="14" s="1"/>
  <c r="J22" i="43"/>
  <c r="Z11" i="49"/>
  <c r="Q11" i="49"/>
  <c r="U11" i="49"/>
  <c r="J22" i="41"/>
  <c r="F16" i="28"/>
  <c r="U20" i="14"/>
  <c r="V20" i="14" s="1"/>
  <c r="E16" i="28"/>
  <c r="H10" i="49"/>
  <c r="I10" i="49" s="1"/>
  <c r="M88" i="12"/>
  <c r="H40" i="14" s="1"/>
  <c r="AC81" i="12"/>
  <c r="S32" i="14"/>
  <c r="T32" i="14" s="1"/>
  <c r="N49" i="49"/>
  <c r="AF82" i="12"/>
  <c r="AH82" i="12" s="1"/>
  <c r="M23" i="49"/>
  <c r="U33" i="14"/>
  <c r="V33" i="14" s="1"/>
  <c r="A43" i="28"/>
  <c r="A48" i="43"/>
  <c r="A48" i="41"/>
  <c r="D47" i="41"/>
  <c r="L47" i="41"/>
  <c r="M47" i="41"/>
  <c r="E47" i="41"/>
  <c r="H47" i="41"/>
  <c r="I47" i="41"/>
  <c r="M47" i="43"/>
  <c r="L47" i="43"/>
  <c r="I47" i="43"/>
  <c r="H47" i="43"/>
  <c r="E47" i="43"/>
  <c r="D47" i="43"/>
  <c r="B47" i="43"/>
  <c r="BG122" i="12"/>
  <c r="V122" i="12"/>
  <c r="H122" i="12" s="1"/>
  <c r="D123" i="12"/>
  <c r="G123" i="12" s="1"/>
  <c r="F122" i="12"/>
  <c r="J32" i="14" l="1"/>
  <c r="H27" i="53" s="1"/>
  <c r="U21" i="49"/>
  <c r="L22" i="49"/>
  <c r="H22" i="49" s="1"/>
  <c r="I22" i="49" s="1"/>
  <c r="BJ122" i="12"/>
  <c r="BD123" i="12"/>
  <c r="BG123" i="12" s="1"/>
  <c r="G3" i="14"/>
  <c r="H15" i="53"/>
  <c r="V21" i="49"/>
  <c r="Z21" i="49"/>
  <c r="H26" i="53"/>
  <c r="F15" i="53"/>
  <c r="E15" i="53"/>
  <c r="I15" i="53"/>
  <c r="A73" i="53"/>
  <c r="X62" i="14"/>
  <c r="Y62" i="14" s="1"/>
  <c r="N21" i="43"/>
  <c r="N32" i="43"/>
  <c r="N33" i="14"/>
  <c r="AE81" i="12"/>
  <c r="I33" i="14" s="1"/>
  <c r="J21" i="43"/>
  <c r="U10" i="49"/>
  <c r="R11" i="49"/>
  <c r="V11" i="49"/>
  <c r="N50" i="49"/>
  <c r="AC82" i="12"/>
  <c r="S33" i="14"/>
  <c r="T33" i="14" s="1"/>
  <c r="M89" i="12"/>
  <c r="H41" i="14" s="1"/>
  <c r="AF83" i="12"/>
  <c r="AH83" i="12" s="1"/>
  <c r="M24" i="49"/>
  <c r="U34" i="14"/>
  <c r="V34" i="14" s="1"/>
  <c r="H48" i="41"/>
  <c r="L48" i="41"/>
  <c r="I48" i="41"/>
  <c r="M48" i="41"/>
  <c r="E48" i="41"/>
  <c r="D48" i="41"/>
  <c r="H48" i="43"/>
  <c r="E48" i="43"/>
  <c r="M48" i="43"/>
  <c r="L48" i="43"/>
  <c r="I48" i="43"/>
  <c r="D48" i="43"/>
  <c r="B48" i="43"/>
  <c r="A44" i="28"/>
  <c r="A49" i="41"/>
  <c r="A49" i="43"/>
  <c r="BD124" i="12"/>
  <c r="F123" i="12"/>
  <c r="V123" i="12"/>
  <c r="H123" i="12" s="1"/>
  <c r="BJ123" i="12" l="1"/>
  <c r="BJ124" i="12" s="1"/>
  <c r="G6" i="14"/>
  <c r="G8" i="14" s="1"/>
  <c r="J33" i="14"/>
  <c r="I28" i="53" s="1"/>
  <c r="U22" i="49"/>
  <c r="V22" i="49"/>
  <c r="L23" i="49"/>
  <c r="H23" i="49" s="1"/>
  <c r="I23" i="49" s="1"/>
  <c r="V10" i="49"/>
  <c r="Z10" i="49"/>
  <c r="Z22" i="49"/>
  <c r="I27" i="53"/>
  <c r="A74" i="53"/>
  <c r="X61" i="14"/>
  <c r="Y61" i="14" s="1"/>
  <c r="N33" i="43"/>
  <c r="N34" i="14"/>
  <c r="AE82" i="12"/>
  <c r="I34" i="14" s="1"/>
  <c r="N51" i="49"/>
  <c r="AF84" i="12"/>
  <c r="AH84" i="12" s="1"/>
  <c r="M25" i="49"/>
  <c r="U35" i="14"/>
  <c r="V35" i="14" s="1"/>
  <c r="AC83" i="12"/>
  <c r="S34" i="14"/>
  <c r="T34" i="14" s="1"/>
  <c r="M90" i="12"/>
  <c r="H42" i="14" s="1"/>
  <c r="E49" i="41"/>
  <c r="I49" i="41"/>
  <c r="H49" i="41"/>
  <c r="D49" i="41"/>
  <c r="M49" i="41"/>
  <c r="L49" i="41"/>
  <c r="A45" i="28"/>
  <c r="A50" i="43"/>
  <c r="A50" i="41"/>
  <c r="I49" i="43"/>
  <c r="M49" i="43"/>
  <c r="H49" i="43"/>
  <c r="E49" i="43"/>
  <c r="D49" i="43"/>
  <c r="L49" i="43"/>
  <c r="B49" i="43"/>
  <c r="BG124" i="12"/>
  <c r="BD125" i="12"/>
  <c r="J70" i="12"/>
  <c r="J71" i="12" s="1"/>
  <c r="J72" i="12" s="1"/>
  <c r="J73" i="12" s="1"/>
  <c r="J74" i="12" s="1"/>
  <c r="J75" i="12" s="1"/>
  <c r="J76" i="12" s="1"/>
  <c r="J77" i="12" s="1"/>
  <c r="J78" i="12" s="1"/>
  <c r="J79" i="12" s="1"/>
  <c r="J80" i="12" s="1"/>
  <c r="J81" i="12" s="1"/>
  <c r="J82" i="12" s="1"/>
  <c r="J83" i="12" s="1"/>
  <c r="J84" i="12" s="1"/>
  <c r="J85" i="12" s="1"/>
  <c r="J86" i="12" s="1"/>
  <c r="J87" i="12" s="1"/>
  <c r="J88" i="12" s="1"/>
  <c r="J89" i="12" s="1"/>
  <c r="J90" i="12" s="1"/>
  <c r="J91" i="12" s="1"/>
  <c r="J92" i="12" s="1"/>
  <c r="J93" i="12" s="1"/>
  <c r="J94" i="12" s="1"/>
  <c r="J95" i="12" s="1"/>
  <c r="J96" i="12" s="1"/>
  <c r="J97" i="12" s="1"/>
  <c r="J98" i="12" s="1"/>
  <c r="J99" i="12" s="1"/>
  <c r="J100" i="12" s="1"/>
  <c r="J101" i="12" s="1"/>
  <c r="J102" i="12" s="1"/>
  <c r="J103" i="12" s="1"/>
  <c r="J104" i="12" s="1"/>
  <c r="J105" i="12" s="1"/>
  <c r="J106" i="12" s="1"/>
  <c r="J107" i="12" s="1"/>
  <c r="J108" i="12" s="1"/>
  <c r="J109" i="12" s="1"/>
  <c r="J110" i="12" s="1"/>
  <c r="J111" i="12" s="1"/>
  <c r="J112" i="12" s="1"/>
  <c r="J113" i="12" s="1"/>
  <c r="J114" i="12" s="1"/>
  <c r="J115" i="12" s="1"/>
  <c r="J116" i="12" s="1"/>
  <c r="J117" i="12" s="1"/>
  <c r="J118" i="12" s="1"/>
  <c r="C68" i="12"/>
  <c r="C70" i="12"/>
  <c r="M5" i="14" l="1"/>
  <c r="G10" i="14"/>
  <c r="M4" i="14" s="1"/>
  <c r="J34" i="14"/>
  <c r="V23" i="49"/>
  <c r="U23" i="49"/>
  <c r="L24" i="49"/>
  <c r="H24" i="49" s="1"/>
  <c r="I24" i="49" s="1"/>
  <c r="M3" i="14"/>
  <c r="J3" i="14"/>
  <c r="Z23" i="49"/>
  <c r="H28" i="53"/>
  <c r="H29" i="53"/>
  <c r="A75" i="53"/>
  <c r="X60" i="14"/>
  <c r="Y60" i="14" s="1"/>
  <c r="N34" i="43"/>
  <c r="H17" i="28"/>
  <c r="I17" i="28"/>
  <c r="H15" i="28"/>
  <c r="I15" i="28"/>
  <c r="N35" i="14"/>
  <c r="AE83" i="12"/>
  <c r="I35" i="14" s="1"/>
  <c r="N52" i="49"/>
  <c r="M91" i="12"/>
  <c r="H43" i="14" s="1"/>
  <c r="AF85" i="12"/>
  <c r="AH85" i="12" s="1"/>
  <c r="M26" i="49"/>
  <c r="U36" i="14"/>
  <c r="V36" i="14" s="1"/>
  <c r="AC84" i="12"/>
  <c r="S35" i="14"/>
  <c r="T35" i="14" s="1"/>
  <c r="P12" i="49"/>
  <c r="Q12" i="49"/>
  <c r="R12" i="49"/>
  <c r="P10" i="49"/>
  <c r="Q10" i="49"/>
  <c r="R10" i="49"/>
  <c r="L50" i="43"/>
  <c r="I50" i="43"/>
  <c r="H50" i="43"/>
  <c r="E50" i="43"/>
  <c r="D50" i="43"/>
  <c r="M50" i="43"/>
  <c r="B50" i="43"/>
  <c r="A46" i="28"/>
  <c r="A51" i="43"/>
  <c r="A51" i="41"/>
  <c r="H50" i="41"/>
  <c r="I50" i="41"/>
  <c r="D50" i="41"/>
  <c r="L50" i="41"/>
  <c r="E50" i="41"/>
  <c r="M50" i="41"/>
  <c r="F15" i="28"/>
  <c r="E15" i="28"/>
  <c r="J21" i="41"/>
  <c r="B23" i="41"/>
  <c r="B21" i="41"/>
  <c r="C67" i="12"/>
  <c r="BG125" i="12"/>
  <c r="BJ125" i="12"/>
  <c r="BD126" i="12"/>
  <c r="C71" i="12"/>
  <c r="J119" i="12"/>
  <c r="J120" i="12" s="1"/>
  <c r="J121" i="12" s="1"/>
  <c r="J122" i="12" s="1"/>
  <c r="J123" i="12" s="1"/>
  <c r="J35" i="14" l="1"/>
  <c r="U24" i="49"/>
  <c r="L25" i="49"/>
  <c r="H25" i="49" s="1"/>
  <c r="I25" i="49" s="1"/>
  <c r="V24" i="49"/>
  <c r="Z24" i="49"/>
  <c r="I29" i="53"/>
  <c r="A76" i="53"/>
  <c r="X59" i="14"/>
  <c r="Y59" i="14" s="1"/>
  <c r="N35" i="43"/>
  <c r="I18" i="28"/>
  <c r="H18" i="28"/>
  <c r="H14" i="28"/>
  <c r="I14" i="28"/>
  <c r="N36" i="14"/>
  <c r="AE84" i="12"/>
  <c r="I36" i="14" s="1"/>
  <c r="N53" i="49"/>
  <c r="AC85" i="12"/>
  <c r="S36" i="14"/>
  <c r="T36" i="14" s="1"/>
  <c r="AF86" i="12"/>
  <c r="AH86" i="12" s="1"/>
  <c r="M27" i="49"/>
  <c r="U37" i="14"/>
  <c r="V37" i="14" s="1"/>
  <c r="M92" i="12"/>
  <c r="H44" i="14" s="1"/>
  <c r="P9" i="49"/>
  <c r="Q9" i="49"/>
  <c r="R9" i="49"/>
  <c r="P13" i="49"/>
  <c r="Q13" i="49"/>
  <c r="R13" i="49"/>
  <c r="L51" i="41"/>
  <c r="D51" i="41"/>
  <c r="M51" i="41"/>
  <c r="H51" i="41"/>
  <c r="E51" i="41"/>
  <c r="I51" i="41"/>
  <c r="D51" i="43"/>
  <c r="M51" i="43"/>
  <c r="L51" i="43"/>
  <c r="I51" i="43"/>
  <c r="H51" i="43"/>
  <c r="E51" i="43"/>
  <c r="B51" i="43"/>
  <c r="A47" i="28"/>
  <c r="A52" i="43"/>
  <c r="A52" i="41"/>
  <c r="F14" i="28"/>
  <c r="E14" i="28"/>
  <c r="J20" i="41"/>
  <c r="B24" i="41"/>
  <c r="B20" i="41"/>
  <c r="C66" i="12"/>
  <c r="BG126" i="12"/>
  <c r="BJ126" i="12"/>
  <c r="BD127" i="12"/>
  <c r="BG127" i="12" s="1"/>
  <c r="C72" i="12"/>
  <c r="J36" i="14" l="1"/>
  <c r="H31" i="53" s="1"/>
  <c r="U25" i="49"/>
  <c r="L26" i="49"/>
  <c r="H26" i="49" s="1"/>
  <c r="I26" i="49" s="1"/>
  <c r="V25" i="49"/>
  <c r="Z25" i="49"/>
  <c r="H30" i="53"/>
  <c r="I30" i="53"/>
  <c r="A77" i="53"/>
  <c r="X58" i="14"/>
  <c r="Y58" i="14" s="1"/>
  <c r="N36" i="43"/>
  <c r="E13" i="28"/>
  <c r="I13" i="28"/>
  <c r="H13" i="28"/>
  <c r="H19" i="28"/>
  <c r="I19" i="28"/>
  <c r="N37" i="14"/>
  <c r="AE85" i="12"/>
  <c r="I37" i="14" s="1"/>
  <c r="N54" i="49"/>
  <c r="M93" i="12"/>
  <c r="H45" i="14" s="1"/>
  <c r="AF87" i="12"/>
  <c r="AH87" i="12" s="1"/>
  <c r="M28" i="49"/>
  <c r="U38" i="14"/>
  <c r="V38" i="14" s="1"/>
  <c r="AC86" i="12"/>
  <c r="S37" i="14"/>
  <c r="T37" i="14" s="1"/>
  <c r="P8" i="49"/>
  <c r="R8" i="49"/>
  <c r="Q8" i="49"/>
  <c r="P14" i="49"/>
  <c r="Q14" i="49"/>
  <c r="R14" i="49"/>
  <c r="F13" i="28"/>
  <c r="E52" i="43"/>
  <c r="M52" i="43"/>
  <c r="L52" i="43"/>
  <c r="I52" i="43"/>
  <c r="D52" i="43"/>
  <c r="H52" i="43"/>
  <c r="B52" i="43"/>
  <c r="A48" i="28"/>
  <c r="A53" i="43"/>
  <c r="A53" i="41"/>
  <c r="H52" i="41"/>
  <c r="M52" i="41"/>
  <c r="L52" i="41"/>
  <c r="I52" i="41"/>
  <c r="D52" i="41"/>
  <c r="E52" i="41"/>
  <c r="J19" i="41"/>
  <c r="B19" i="41"/>
  <c r="B25" i="41"/>
  <c r="C65" i="12"/>
  <c r="C64" i="12" s="1"/>
  <c r="C63" i="12" s="1"/>
  <c r="C62" i="12" s="1"/>
  <c r="C61" i="12" s="1"/>
  <c r="C60" i="12" s="1"/>
  <c r="C59" i="12" s="1"/>
  <c r="C58" i="12" s="1"/>
  <c r="C57" i="12" s="1"/>
  <c r="C56" i="12" s="1"/>
  <c r="C55" i="12" s="1"/>
  <c r="C54" i="12" s="1"/>
  <c r="C53" i="12" s="1"/>
  <c r="C52" i="12" s="1"/>
  <c r="C51" i="12" s="1"/>
  <c r="C50" i="12" s="1"/>
  <c r="C49" i="12" s="1"/>
  <c r="C48" i="12" s="1"/>
  <c r="C47" i="12" s="1"/>
  <c r="C46" i="12" s="1"/>
  <c r="C45" i="12" s="1"/>
  <c r="C44" i="12" s="1"/>
  <c r="C43" i="12" s="1"/>
  <c r="C42" i="12" s="1"/>
  <c r="C41" i="12" s="1"/>
  <c r="C40" i="12" s="1"/>
  <c r="C39" i="12" s="1"/>
  <c r="C38" i="12" s="1"/>
  <c r="C37" i="12" s="1"/>
  <c r="C36" i="12" s="1"/>
  <c r="C35" i="12" s="1"/>
  <c r="C34" i="12" s="1"/>
  <c r="C33" i="12" s="1"/>
  <c r="C32" i="12" s="1"/>
  <c r="C31" i="12" s="1"/>
  <c r="C30" i="12" s="1"/>
  <c r="C29" i="12" s="1"/>
  <c r="C28" i="12" s="1"/>
  <c r="C27" i="12" s="1"/>
  <c r="C26" i="12" s="1"/>
  <c r="C25" i="12" s="1"/>
  <c r="C24" i="12" s="1"/>
  <c r="C23" i="12" s="1"/>
  <c r="C22" i="12" s="1"/>
  <c r="C21" i="12" s="1"/>
  <c r="C20" i="12" s="1"/>
  <c r="C19" i="12" s="1"/>
  <c r="C18" i="12" s="1"/>
  <c r="C17" i="12" s="1"/>
  <c r="C16" i="12" s="1"/>
  <c r="C15" i="12" s="1"/>
  <c r="C14" i="12" s="1"/>
  <c r="C13" i="12" s="1"/>
  <c r="C12" i="12" s="1"/>
  <c r="C11" i="12" s="1"/>
  <c r="C10" i="12" s="1"/>
  <c r="C9" i="12" s="1"/>
  <c r="C8" i="12" s="1"/>
  <c r="C7" i="12" s="1"/>
  <c r="C6" i="12" s="1"/>
  <c r="C5" i="12" s="1"/>
  <c r="BD128" i="12"/>
  <c r="BJ127" i="12"/>
  <c r="C73" i="12"/>
  <c r="N26" i="41" s="1"/>
  <c r="J37" i="14" l="1"/>
  <c r="I32" i="53" s="1"/>
  <c r="U26" i="49"/>
  <c r="V26" i="49"/>
  <c r="L27" i="49"/>
  <c r="H27" i="49" s="1"/>
  <c r="I27" i="49" s="1"/>
  <c r="I31" i="53"/>
  <c r="A78" i="53"/>
  <c r="X57" i="14"/>
  <c r="Y57" i="14" s="1"/>
  <c r="N37" i="43"/>
  <c r="I20" i="28"/>
  <c r="H20" i="28"/>
  <c r="N38" i="14"/>
  <c r="AE86" i="12"/>
  <c r="I38" i="14" s="1"/>
  <c r="M94" i="12"/>
  <c r="H46" i="14" s="1"/>
  <c r="N55" i="49"/>
  <c r="AC87" i="12"/>
  <c r="S38" i="14"/>
  <c r="T38" i="14" s="1"/>
  <c r="AF88" i="12"/>
  <c r="AH88" i="12" s="1"/>
  <c r="M29" i="49"/>
  <c r="U39" i="14"/>
  <c r="V39" i="14" s="1"/>
  <c r="P15" i="49"/>
  <c r="Q15" i="49"/>
  <c r="R15" i="49"/>
  <c r="P7" i="49"/>
  <c r="M53" i="41"/>
  <c r="H53" i="41"/>
  <c r="L53" i="41"/>
  <c r="I53" i="41"/>
  <c r="E53" i="41"/>
  <c r="D53" i="41"/>
  <c r="L53" i="43"/>
  <c r="I53" i="43"/>
  <c r="M53" i="43"/>
  <c r="H53" i="43"/>
  <c r="E53" i="43"/>
  <c r="D53" i="43"/>
  <c r="B53" i="43"/>
  <c r="A49" i="28"/>
  <c r="A54" i="41"/>
  <c r="A54" i="43"/>
  <c r="B18" i="41"/>
  <c r="B26" i="41"/>
  <c r="BG128" i="12"/>
  <c r="BJ128" i="12"/>
  <c r="BD129" i="12"/>
  <c r="C74" i="12"/>
  <c r="N27" i="41" s="1"/>
  <c r="J38" i="14" l="1"/>
  <c r="H33" i="53" s="1"/>
  <c r="Z26" i="49"/>
  <c r="U27" i="49"/>
  <c r="L28" i="49"/>
  <c r="H28" i="49" s="1"/>
  <c r="I28" i="49" s="1"/>
  <c r="V27" i="49"/>
  <c r="Z27" i="49"/>
  <c r="H32" i="53"/>
  <c r="A79" i="53"/>
  <c r="X56" i="14"/>
  <c r="Y56" i="14" s="1"/>
  <c r="N38" i="43"/>
  <c r="I21" i="28"/>
  <c r="H21" i="28"/>
  <c r="N39" i="14"/>
  <c r="AE87" i="12"/>
  <c r="I39" i="14" s="1"/>
  <c r="AC88" i="12"/>
  <c r="S39" i="14"/>
  <c r="T39" i="14" s="1"/>
  <c r="N56" i="49"/>
  <c r="M95" i="12"/>
  <c r="H47" i="14" s="1"/>
  <c r="AF89" i="12"/>
  <c r="AH89" i="12" s="1"/>
  <c r="M30" i="49"/>
  <c r="U40" i="14"/>
  <c r="V40" i="14" s="1"/>
  <c r="P16" i="49"/>
  <c r="R16" i="49"/>
  <c r="Q16" i="49"/>
  <c r="H54" i="41"/>
  <c r="L54" i="41"/>
  <c r="E54" i="41"/>
  <c r="D54" i="41"/>
  <c r="M54" i="41"/>
  <c r="I54" i="41"/>
  <c r="A50" i="28"/>
  <c r="A55" i="41"/>
  <c r="A55" i="43"/>
  <c r="M54" i="43"/>
  <c r="L54" i="43"/>
  <c r="I54" i="43"/>
  <c r="H54" i="43"/>
  <c r="E54" i="43"/>
  <c r="D54" i="43"/>
  <c r="B54" i="43"/>
  <c r="B27" i="41"/>
  <c r="BG129" i="12"/>
  <c r="BD130" i="12"/>
  <c r="BJ129" i="12"/>
  <c r="C75" i="12"/>
  <c r="N28" i="41" s="1"/>
  <c r="J39" i="14" l="1"/>
  <c r="I34" i="53" s="1"/>
  <c r="U28" i="49"/>
  <c r="V28" i="49"/>
  <c r="L29" i="49"/>
  <c r="H29" i="49" s="1"/>
  <c r="I29" i="49" s="1"/>
  <c r="Z28" i="49"/>
  <c r="I33" i="53"/>
  <c r="A80" i="53"/>
  <c r="X55" i="14"/>
  <c r="Y55" i="14" s="1"/>
  <c r="N39" i="43"/>
  <c r="I22" i="28"/>
  <c r="H22" i="28"/>
  <c r="N40" i="14"/>
  <c r="AE88" i="12"/>
  <c r="I40" i="14" s="1"/>
  <c r="M96" i="12"/>
  <c r="H48" i="14" s="1"/>
  <c r="AF90" i="12"/>
  <c r="AH90" i="12" s="1"/>
  <c r="M31" i="49"/>
  <c r="U41" i="14"/>
  <c r="V41" i="14" s="1"/>
  <c r="N57" i="49"/>
  <c r="AC89" i="12"/>
  <c r="S40" i="14"/>
  <c r="T40" i="14" s="1"/>
  <c r="P17" i="49"/>
  <c r="R17" i="49"/>
  <c r="Q17" i="49"/>
  <c r="E55" i="41"/>
  <c r="L55" i="41"/>
  <c r="H55" i="41"/>
  <c r="M55" i="41"/>
  <c r="I55" i="41"/>
  <c r="D55" i="41"/>
  <c r="A51" i="28"/>
  <c r="A56" i="41"/>
  <c r="A56" i="43"/>
  <c r="M55" i="43"/>
  <c r="L55" i="43"/>
  <c r="I55" i="43"/>
  <c r="H55" i="43"/>
  <c r="E55" i="43"/>
  <c r="D55" i="43"/>
  <c r="B55" i="43"/>
  <c r="B28" i="41"/>
  <c r="BG130" i="12"/>
  <c r="BD131" i="12"/>
  <c r="BJ130" i="12"/>
  <c r="C76" i="12"/>
  <c r="N29" i="41" s="1"/>
  <c r="J40" i="14" l="1"/>
  <c r="I35" i="53" s="1"/>
  <c r="U29" i="49"/>
  <c r="L30" i="49"/>
  <c r="H30" i="49" s="1"/>
  <c r="I30" i="49" s="1"/>
  <c r="V29" i="49"/>
  <c r="Z29" i="49"/>
  <c r="H34" i="53"/>
  <c r="A81" i="53"/>
  <c r="X54" i="14"/>
  <c r="Y54" i="14" s="1"/>
  <c r="N40" i="43"/>
  <c r="H23" i="28"/>
  <c r="I23" i="28"/>
  <c r="N41" i="14"/>
  <c r="AE89" i="12"/>
  <c r="I41" i="14" s="1"/>
  <c r="AC90" i="12"/>
  <c r="S41" i="14"/>
  <c r="T41" i="14" s="1"/>
  <c r="AF91" i="12"/>
  <c r="AH91" i="12" s="1"/>
  <c r="M32" i="49"/>
  <c r="U42" i="14"/>
  <c r="V42" i="14" s="1"/>
  <c r="M97" i="12"/>
  <c r="H49" i="14" s="1"/>
  <c r="P18" i="49"/>
  <c r="Q18" i="49"/>
  <c r="R18" i="49"/>
  <c r="L56" i="41"/>
  <c r="D56" i="41"/>
  <c r="E56" i="41"/>
  <c r="H56" i="41"/>
  <c r="M56" i="41"/>
  <c r="I56" i="41"/>
  <c r="A52" i="28"/>
  <c r="A57" i="41"/>
  <c r="A57" i="43"/>
  <c r="H56" i="43"/>
  <c r="E56" i="43"/>
  <c r="M56" i="43"/>
  <c r="L56" i="43"/>
  <c r="I56" i="43"/>
  <c r="D56" i="43"/>
  <c r="B56" i="43"/>
  <c r="B29" i="41"/>
  <c r="BG131" i="12"/>
  <c r="BJ131" i="12"/>
  <c r="BD132" i="12"/>
  <c r="C77" i="12"/>
  <c r="N30" i="41" s="1"/>
  <c r="J41" i="14" l="1"/>
  <c r="I36" i="53" s="1"/>
  <c r="U30" i="49"/>
  <c r="L31" i="49"/>
  <c r="H31" i="49" s="1"/>
  <c r="I31" i="49" s="1"/>
  <c r="V30" i="49"/>
  <c r="Z30" i="49"/>
  <c r="H35" i="53"/>
  <c r="A82" i="53"/>
  <c r="X53" i="14"/>
  <c r="Y53" i="14" s="1"/>
  <c r="N41" i="43"/>
  <c r="I24" i="28"/>
  <c r="H24" i="28"/>
  <c r="N42" i="14"/>
  <c r="AE90" i="12"/>
  <c r="I42" i="14" s="1"/>
  <c r="AC91" i="12"/>
  <c r="S42" i="14"/>
  <c r="T42" i="14" s="1"/>
  <c r="M98" i="12"/>
  <c r="H50" i="14" s="1"/>
  <c r="AF92" i="12"/>
  <c r="AH92" i="12" s="1"/>
  <c r="M33" i="49"/>
  <c r="U43" i="14"/>
  <c r="V43" i="14" s="1"/>
  <c r="P19" i="49"/>
  <c r="Q19" i="49"/>
  <c r="R19" i="49"/>
  <c r="A53" i="28"/>
  <c r="A58" i="43"/>
  <c r="A58" i="41"/>
  <c r="D57" i="41"/>
  <c r="I57" i="41"/>
  <c r="E57" i="41"/>
  <c r="L57" i="41"/>
  <c r="M57" i="41"/>
  <c r="H57" i="41"/>
  <c r="I57" i="43"/>
  <c r="M57" i="43"/>
  <c r="H57" i="43"/>
  <c r="E57" i="43"/>
  <c r="D57" i="43"/>
  <c r="L57" i="43"/>
  <c r="B57" i="43"/>
  <c r="B30" i="41"/>
  <c r="BG132" i="12"/>
  <c r="BD133" i="12"/>
  <c r="BJ132" i="12"/>
  <c r="C78" i="12"/>
  <c r="N31" i="41" s="1"/>
  <c r="J42" i="14" l="1"/>
  <c r="I37" i="53" s="1"/>
  <c r="U31" i="49"/>
  <c r="L32" i="49"/>
  <c r="H32" i="49" s="1"/>
  <c r="I32" i="49" s="1"/>
  <c r="V31" i="49"/>
  <c r="Z31" i="49"/>
  <c r="H36" i="53"/>
  <c r="A83" i="53"/>
  <c r="X52" i="14"/>
  <c r="Y52" i="14" s="1"/>
  <c r="N42" i="43"/>
  <c r="I25" i="28"/>
  <c r="H25" i="28"/>
  <c r="N43" i="14"/>
  <c r="AE91" i="12"/>
  <c r="I43" i="14" s="1"/>
  <c r="M99" i="12"/>
  <c r="H51" i="14" s="1"/>
  <c r="AC92" i="12"/>
  <c r="S43" i="14"/>
  <c r="T43" i="14" s="1"/>
  <c r="AF93" i="12"/>
  <c r="AH93" i="12" s="1"/>
  <c r="M34" i="49"/>
  <c r="U44" i="14"/>
  <c r="V44" i="14" s="1"/>
  <c r="P20" i="49"/>
  <c r="Q20" i="49"/>
  <c r="R20" i="49"/>
  <c r="D58" i="41"/>
  <c r="I58" i="41"/>
  <c r="L58" i="41"/>
  <c r="E58" i="41"/>
  <c r="H58" i="41"/>
  <c r="M58" i="41"/>
  <c r="M58" i="43"/>
  <c r="L58" i="43"/>
  <c r="I58" i="43"/>
  <c r="H58" i="43"/>
  <c r="E58" i="43"/>
  <c r="D58" i="43"/>
  <c r="B58" i="43"/>
  <c r="A54" i="28"/>
  <c r="A59" i="43"/>
  <c r="A59" i="41"/>
  <c r="B31" i="41"/>
  <c r="BG133" i="12"/>
  <c r="BJ133" i="12"/>
  <c r="BD134" i="12"/>
  <c r="C79" i="12"/>
  <c r="N32" i="41" s="1"/>
  <c r="J43" i="14" l="1"/>
  <c r="U32" i="49"/>
  <c r="L33" i="49"/>
  <c r="H33" i="49" s="1"/>
  <c r="I33" i="49" s="1"/>
  <c r="V32" i="49"/>
  <c r="Z32" i="49"/>
  <c r="H37" i="53"/>
  <c r="A84" i="53"/>
  <c r="X51" i="14"/>
  <c r="Y51" i="14" s="1"/>
  <c r="N43" i="43"/>
  <c r="I26" i="28"/>
  <c r="H26" i="28"/>
  <c r="N44" i="14"/>
  <c r="AE92" i="12"/>
  <c r="I44" i="14" s="1"/>
  <c r="AF94" i="12"/>
  <c r="AH94" i="12" s="1"/>
  <c r="M35" i="49"/>
  <c r="U45" i="14"/>
  <c r="V45" i="14" s="1"/>
  <c r="AC93" i="12"/>
  <c r="S44" i="14"/>
  <c r="T44" i="14" s="1"/>
  <c r="M100" i="12"/>
  <c r="H52" i="14" s="1"/>
  <c r="P21" i="49"/>
  <c r="R21" i="49"/>
  <c r="Q21" i="49"/>
  <c r="D59" i="43"/>
  <c r="M59" i="43"/>
  <c r="L59" i="43"/>
  <c r="I59" i="43"/>
  <c r="H59" i="43"/>
  <c r="E59" i="43"/>
  <c r="B59" i="43"/>
  <c r="A55" i="28"/>
  <c r="A60" i="43"/>
  <c r="A60" i="41"/>
  <c r="H59" i="41"/>
  <c r="M59" i="41"/>
  <c r="D59" i="41"/>
  <c r="I59" i="41"/>
  <c r="L59" i="41"/>
  <c r="E59" i="41"/>
  <c r="B32" i="41"/>
  <c r="BJ134" i="12"/>
  <c r="BG134" i="12"/>
  <c r="BD135" i="12"/>
  <c r="C80" i="12"/>
  <c r="N33" i="41" s="1"/>
  <c r="J44" i="14" l="1"/>
  <c r="H39" i="53" s="1"/>
  <c r="U33" i="49"/>
  <c r="V33" i="49"/>
  <c r="L34" i="49"/>
  <c r="H34" i="49" s="1"/>
  <c r="I34" i="49" s="1"/>
  <c r="Z33" i="49"/>
  <c r="H38" i="53"/>
  <c r="I38" i="53"/>
  <c r="A85" i="53"/>
  <c r="X50" i="14"/>
  <c r="Y50" i="14" s="1"/>
  <c r="N44" i="43"/>
  <c r="I27" i="28"/>
  <c r="H27" i="28"/>
  <c r="N45" i="14"/>
  <c r="AE93" i="12"/>
  <c r="I45" i="14" s="1"/>
  <c r="AC94" i="12"/>
  <c r="S45" i="14"/>
  <c r="T45" i="14" s="1"/>
  <c r="AF95" i="12"/>
  <c r="AH95" i="12" s="1"/>
  <c r="M36" i="49"/>
  <c r="U46" i="14"/>
  <c r="V46" i="14" s="1"/>
  <c r="M101" i="12"/>
  <c r="H53" i="14" s="1"/>
  <c r="P22" i="49"/>
  <c r="Q22" i="49"/>
  <c r="R22" i="49"/>
  <c r="D60" i="41"/>
  <c r="E60" i="41"/>
  <c r="M60" i="41"/>
  <c r="I60" i="41"/>
  <c r="L60" i="41"/>
  <c r="H60" i="41"/>
  <c r="E60" i="43"/>
  <c r="M60" i="43"/>
  <c r="L60" i="43"/>
  <c r="I60" i="43"/>
  <c r="D60" i="43"/>
  <c r="H60" i="43"/>
  <c r="B60" i="43"/>
  <c r="A56" i="28"/>
  <c r="A61" i="43"/>
  <c r="A61" i="41"/>
  <c r="B33" i="41"/>
  <c r="BG135" i="12"/>
  <c r="BD136" i="12"/>
  <c r="BJ135" i="12"/>
  <c r="C81" i="12"/>
  <c r="N34" i="41" s="1"/>
  <c r="J45" i="14" l="1"/>
  <c r="H40" i="53" s="1"/>
  <c r="V34" i="49"/>
  <c r="U34" i="49"/>
  <c r="L35" i="49"/>
  <c r="H35" i="49" s="1"/>
  <c r="I35" i="49" s="1"/>
  <c r="Z34" i="49"/>
  <c r="I39" i="53"/>
  <c r="A86" i="53"/>
  <c r="X49" i="14"/>
  <c r="Y49" i="14" s="1"/>
  <c r="N45" i="43"/>
  <c r="H28" i="28"/>
  <c r="I28" i="28"/>
  <c r="N46" i="14"/>
  <c r="AE94" i="12"/>
  <c r="I46" i="14" s="1"/>
  <c r="M102" i="12"/>
  <c r="H54" i="14" s="1"/>
  <c r="AF96" i="12"/>
  <c r="AH96" i="12" s="1"/>
  <c r="M37" i="49"/>
  <c r="U47" i="14"/>
  <c r="V47" i="14" s="1"/>
  <c r="AC95" i="12"/>
  <c r="S46" i="14"/>
  <c r="T46" i="14" s="1"/>
  <c r="P23" i="49"/>
  <c r="Q23" i="49"/>
  <c r="R23" i="49"/>
  <c r="A57" i="28"/>
  <c r="A62" i="41"/>
  <c r="A62" i="43"/>
  <c r="B61" i="43"/>
  <c r="B34" i="41"/>
  <c r="BG136" i="12"/>
  <c r="BJ136" i="12"/>
  <c r="BD137" i="12"/>
  <c r="C82" i="12"/>
  <c r="N35" i="41" s="1"/>
  <c r="J46" i="14" l="1"/>
  <c r="H41" i="53" s="1"/>
  <c r="U35" i="49"/>
  <c r="L36" i="49"/>
  <c r="H36" i="49" s="1"/>
  <c r="I36" i="49" s="1"/>
  <c r="V35" i="49"/>
  <c r="Z35" i="49"/>
  <c r="I40" i="53"/>
  <c r="A87" i="53"/>
  <c r="X48" i="14"/>
  <c r="Y48" i="14" s="1"/>
  <c r="N46" i="43"/>
  <c r="H29" i="28"/>
  <c r="I29" i="28"/>
  <c r="N47" i="14"/>
  <c r="AE95" i="12"/>
  <c r="I47" i="14" s="1"/>
  <c r="M103" i="12"/>
  <c r="H55" i="14" s="1"/>
  <c r="AC96" i="12"/>
  <c r="S47" i="14"/>
  <c r="T47" i="14" s="1"/>
  <c r="AF97" i="12"/>
  <c r="AH97" i="12" s="1"/>
  <c r="M38" i="49"/>
  <c r="U48" i="14"/>
  <c r="V48" i="14" s="1"/>
  <c r="P24" i="49"/>
  <c r="Q24" i="49"/>
  <c r="R24" i="49"/>
  <c r="B62" i="43"/>
  <c r="A58" i="28"/>
  <c r="A63" i="41"/>
  <c r="A63" i="43"/>
  <c r="B35" i="41"/>
  <c r="BG137" i="12"/>
  <c r="BD138" i="12"/>
  <c r="BJ137" i="12"/>
  <c r="C83" i="12"/>
  <c r="N36" i="41" s="1"/>
  <c r="J47" i="14" l="1"/>
  <c r="I42" i="53" s="1"/>
  <c r="U36" i="49"/>
  <c r="V36" i="49"/>
  <c r="L37" i="49"/>
  <c r="H37" i="49" s="1"/>
  <c r="I37" i="49" s="1"/>
  <c r="I41" i="53"/>
  <c r="A88" i="53"/>
  <c r="X47" i="14"/>
  <c r="Y47" i="14" s="1"/>
  <c r="N47" i="43"/>
  <c r="I30" i="28"/>
  <c r="H30" i="28"/>
  <c r="N48" i="14"/>
  <c r="AE96" i="12"/>
  <c r="I48" i="14" s="1"/>
  <c r="AF98" i="12"/>
  <c r="AH98" i="12" s="1"/>
  <c r="M39" i="49"/>
  <c r="U49" i="14"/>
  <c r="V49" i="14" s="1"/>
  <c r="AC97" i="12"/>
  <c r="S48" i="14"/>
  <c r="T48" i="14" s="1"/>
  <c r="M104" i="12"/>
  <c r="H56" i="14" s="1"/>
  <c r="P25" i="49"/>
  <c r="Q25" i="49"/>
  <c r="R25" i="49"/>
  <c r="A59" i="28"/>
  <c r="A64" i="41"/>
  <c r="A64" i="43"/>
  <c r="B63" i="43"/>
  <c r="B36" i="41"/>
  <c r="BG138" i="12"/>
  <c r="BD139" i="12"/>
  <c r="BJ138" i="12"/>
  <c r="C84" i="12"/>
  <c r="N37" i="41" s="1"/>
  <c r="J48" i="14" l="1"/>
  <c r="H43" i="53" s="1"/>
  <c r="Z36" i="49"/>
  <c r="V37" i="49"/>
  <c r="U37" i="49"/>
  <c r="L38" i="49"/>
  <c r="H38" i="49" s="1"/>
  <c r="I38" i="49" s="1"/>
  <c r="Z37" i="49"/>
  <c r="H42" i="53"/>
  <c r="A89" i="53"/>
  <c r="X46" i="14"/>
  <c r="Y46" i="14" s="1"/>
  <c r="N48" i="43"/>
  <c r="H31" i="28"/>
  <c r="I31" i="28"/>
  <c r="N49" i="14"/>
  <c r="AE97" i="12"/>
  <c r="I49" i="14" s="1"/>
  <c r="AC98" i="12"/>
  <c r="S49" i="14"/>
  <c r="T49" i="14" s="1"/>
  <c r="M105" i="12"/>
  <c r="H57" i="14" s="1"/>
  <c r="AF99" i="12"/>
  <c r="AH99" i="12" s="1"/>
  <c r="M40" i="49"/>
  <c r="U50" i="14"/>
  <c r="V50" i="14" s="1"/>
  <c r="P26" i="49"/>
  <c r="R26" i="49"/>
  <c r="Q26" i="49"/>
  <c r="B64" i="43"/>
  <c r="A60" i="28"/>
  <c r="A65" i="41"/>
  <c r="A65" i="43"/>
  <c r="B37" i="41"/>
  <c r="BG139" i="12"/>
  <c r="BJ139" i="12"/>
  <c r="BD140" i="12"/>
  <c r="C85" i="12"/>
  <c r="N38" i="41" s="1"/>
  <c r="J49" i="14" l="1"/>
  <c r="I44" i="53" s="1"/>
  <c r="U38" i="49"/>
  <c r="V38" i="49"/>
  <c r="L39" i="49"/>
  <c r="H39" i="49" s="1"/>
  <c r="I39" i="49" s="1"/>
  <c r="Z38" i="49"/>
  <c r="I43" i="53"/>
  <c r="A90" i="53"/>
  <c r="X45" i="14"/>
  <c r="Y45" i="14" s="1"/>
  <c r="N49" i="43"/>
  <c r="H32" i="28"/>
  <c r="I32" i="28"/>
  <c r="N50" i="14"/>
  <c r="AE98" i="12"/>
  <c r="I50" i="14" s="1"/>
  <c r="AF100" i="12"/>
  <c r="AH100" i="12" s="1"/>
  <c r="M41" i="49"/>
  <c r="U51" i="14"/>
  <c r="V51" i="14" s="1"/>
  <c r="M106" i="12"/>
  <c r="H58" i="14" s="1"/>
  <c r="AC99" i="12"/>
  <c r="S50" i="14"/>
  <c r="T50" i="14" s="1"/>
  <c r="P27" i="49"/>
  <c r="R27" i="49"/>
  <c r="Q27" i="49"/>
  <c r="B65" i="43"/>
  <c r="A61" i="28"/>
  <c r="A66" i="43"/>
  <c r="A66" i="41"/>
  <c r="B38" i="41"/>
  <c r="BG140" i="12"/>
  <c r="BD141" i="12"/>
  <c r="BJ140" i="12"/>
  <c r="C86" i="12"/>
  <c r="N39" i="41" s="1"/>
  <c r="J50" i="14" l="1"/>
  <c r="H45" i="53" s="1"/>
  <c r="U39" i="49"/>
  <c r="L40" i="49"/>
  <c r="H40" i="49" s="1"/>
  <c r="I40" i="49" s="1"/>
  <c r="F90" i="53"/>
  <c r="B90" i="53"/>
  <c r="C90" i="53"/>
  <c r="H90" i="53"/>
  <c r="I90" i="53"/>
  <c r="E90" i="53"/>
  <c r="V39" i="49"/>
  <c r="Z39" i="49"/>
  <c r="H44" i="53"/>
  <c r="A91" i="53"/>
  <c r="X44" i="14"/>
  <c r="Y44" i="14" s="1"/>
  <c r="N50" i="43"/>
  <c r="I33" i="28"/>
  <c r="H33" i="28"/>
  <c r="N51" i="14"/>
  <c r="AE99" i="12"/>
  <c r="I51" i="14" s="1"/>
  <c r="M107" i="12"/>
  <c r="H59" i="14" s="1"/>
  <c r="AF101" i="12"/>
  <c r="AH101" i="12" s="1"/>
  <c r="M42" i="49"/>
  <c r="U52" i="14"/>
  <c r="V52" i="14" s="1"/>
  <c r="AC100" i="12"/>
  <c r="S51" i="14"/>
  <c r="T51" i="14" s="1"/>
  <c r="P28" i="49"/>
  <c r="Q28" i="49"/>
  <c r="R28" i="49"/>
  <c r="A62" i="28"/>
  <c r="A67" i="43"/>
  <c r="A67" i="41"/>
  <c r="B66" i="43"/>
  <c r="B39" i="41"/>
  <c r="BG141" i="12"/>
  <c r="BJ141" i="12"/>
  <c r="BD142" i="12"/>
  <c r="C87" i="12"/>
  <c r="N40" i="41" s="1"/>
  <c r="J51" i="14" l="1"/>
  <c r="I46" i="53" s="1"/>
  <c r="U40" i="49"/>
  <c r="L41" i="49"/>
  <c r="H41" i="49" s="1"/>
  <c r="I41" i="49" s="1"/>
  <c r="F91" i="53"/>
  <c r="I91" i="53"/>
  <c r="H91" i="53"/>
  <c r="B91" i="53"/>
  <c r="E91" i="53"/>
  <c r="C91" i="53"/>
  <c r="V40" i="49"/>
  <c r="Z40" i="49"/>
  <c r="I45" i="53"/>
  <c r="A92" i="53"/>
  <c r="X43" i="14"/>
  <c r="Y43" i="14" s="1"/>
  <c r="N51" i="43"/>
  <c r="H34" i="28"/>
  <c r="I34" i="28"/>
  <c r="N52" i="14"/>
  <c r="AE100" i="12"/>
  <c r="I52" i="14" s="1"/>
  <c r="AF102" i="12"/>
  <c r="AH102" i="12" s="1"/>
  <c r="M43" i="49"/>
  <c r="U53" i="14"/>
  <c r="V53" i="14" s="1"/>
  <c r="AC101" i="12"/>
  <c r="S52" i="14"/>
  <c r="T52" i="14" s="1"/>
  <c r="M108" i="12"/>
  <c r="H60" i="14" s="1"/>
  <c r="P29" i="49"/>
  <c r="R29" i="49"/>
  <c r="Q29" i="49"/>
  <c r="B67" i="43"/>
  <c r="A63" i="28"/>
  <c r="A68" i="43"/>
  <c r="N68" i="43" s="1"/>
  <c r="A68" i="41"/>
  <c r="N68" i="41" s="1"/>
  <c r="B40" i="41"/>
  <c r="BG142" i="12"/>
  <c r="BD143" i="12"/>
  <c r="BJ142" i="12"/>
  <c r="C88" i="12"/>
  <c r="N41" i="41" s="1"/>
  <c r="J52" i="14" l="1"/>
  <c r="H47" i="53" s="1"/>
  <c r="U41" i="49"/>
  <c r="L42" i="49"/>
  <c r="H42" i="49" s="1"/>
  <c r="I42" i="49" s="1"/>
  <c r="H92" i="53"/>
  <c r="E92" i="53"/>
  <c r="I92" i="53"/>
  <c r="F92" i="53"/>
  <c r="C92" i="53"/>
  <c r="B92" i="53"/>
  <c r="V41" i="49"/>
  <c r="Z41" i="49"/>
  <c r="H46" i="53"/>
  <c r="A93" i="53"/>
  <c r="X42" i="14"/>
  <c r="Y42" i="14" s="1"/>
  <c r="N52" i="43"/>
  <c r="H35" i="28"/>
  <c r="I35" i="28"/>
  <c r="N53" i="14"/>
  <c r="AE101" i="12"/>
  <c r="I53" i="14" s="1"/>
  <c r="AF103" i="12"/>
  <c r="AH103" i="12" s="1"/>
  <c r="M44" i="49"/>
  <c r="U54" i="14"/>
  <c r="V54" i="14" s="1"/>
  <c r="AC102" i="12"/>
  <c r="S53" i="14"/>
  <c r="T53" i="14" s="1"/>
  <c r="M109" i="12"/>
  <c r="H61" i="14" s="1"/>
  <c r="P30" i="49"/>
  <c r="Q30" i="49"/>
  <c r="R30" i="49"/>
  <c r="J68" i="41"/>
  <c r="F68" i="41"/>
  <c r="J68" i="43"/>
  <c r="F68" i="43"/>
  <c r="B68" i="43"/>
  <c r="A64" i="28"/>
  <c r="A69" i="43"/>
  <c r="N69" i="43" s="1"/>
  <c r="A69" i="41"/>
  <c r="N69" i="41" s="1"/>
  <c r="B41" i="41"/>
  <c r="BG143" i="12"/>
  <c r="BD144" i="12"/>
  <c r="BJ143" i="12"/>
  <c r="C89" i="12"/>
  <c r="N42" i="41" s="1"/>
  <c r="J53" i="14" l="1"/>
  <c r="I48" i="53" s="1"/>
  <c r="U42" i="49"/>
  <c r="L43" i="49"/>
  <c r="H43" i="49" s="1"/>
  <c r="I43" i="49" s="1"/>
  <c r="H93" i="53"/>
  <c r="F93" i="53"/>
  <c r="E93" i="53"/>
  <c r="C93" i="53"/>
  <c r="B93" i="53"/>
  <c r="I93" i="53"/>
  <c r="V42" i="49"/>
  <c r="Z42" i="49"/>
  <c r="I47" i="53"/>
  <c r="A94" i="53"/>
  <c r="X41" i="14"/>
  <c r="Y41" i="14" s="1"/>
  <c r="N54" i="14"/>
  <c r="N53" i="43"/>
  <c r="I36" i="28"/>
  <c r="H36" i="28"/>
  <c r="AE102" i="12"/>
  <c r="I54" i="14" s="1"/>
  <c r="AF104" i="12"/>
  <c r="AH104" i="12" s="1"/>
  <c r="M45" i="49"/>
  <c r="U55" i="14"/>
  <c r="V55" i="14" s="1"/>
  <c r="M110" i="12"/>
  <c r="H62" i="14" s="1"/>
  <c r="AC103" i="12"/>
  <c r="S54" i="14"/>
  <c r="T54" i="14" s="1"/>
  <c r="P31" i="49"/>
  <c r="Q31" i="49"/>
  <c r="R31" i="49"/>
  <c r="A65" i="28"/>
  <c r="A70" i="41"/>
  <c r="N70" i="41" s="1"/>
  <c r="A70" i="43"/>
  <c r="N70" i="43" s="1"/>
  <c r="J69" i="41"/>
  <c r="F69" i="41"/>
  <c r="J69" i="43"/>
  <c r="F69" i="43"/>
  <c r="B69" i="43"/>
  <c r="B42" i="41"/>
  <c r="BG144" i="12"/>
  <c r="BJ144" i="12"/>
  <c r="BD145" i="12"/>
  <c r="C90" i="12"/>
  <c r="N43" i="41" s="1"/>
  <c r="J54" i="14" l="1"/>
  <c r="H49" i="53" s="1"/>
  <c r="U43" i="49"/>
  <c r="L44" i="49"/>
  <c r="H44" i="49" s="1"/>
  <c r="I44" i="49" s="1"/>
  <c r="H94" i="53"/>
  <c r="E94" i="53"/>
  <c r="C94" i="53"/>
  <c r="I94" i="53"/>
  <c r="F94" i="53"/>
  <c r="B94" i="53"/>
  <c r="V43" i="49"/>
  <c r="Z43" i="49"/>
  <c r="H48" i="53"/>
  <c r="A95" i="53"/>
  <c r="X40" i="14"/>
  <c r="Y40" i="14" s="1"/>
  <c r="N54" i="43"/>
  <c r="H37" i="28"/>
  <c r="I37" i="28"/>
  <c r="N55" i="14"/>
  <c r="AE103" i="12"/>
  <c r="I55" i="14" s="1"/>
  <c r="AF105" i="12"/>
  <c r="AH105" i="12" s="1"/>
  <c r="M46" i="49"/>
  <c r="U56" i="14"/>
  <c r="V56" i="14" s="1"/>
  <c r="AC104" i="12"/>
  <c r="S55" i="14"/>
  <c r="T55" i="14" s="1"/>
  <c r="M111" i="12"/>
  <c r="H63" i="14" s="1"/>
  <c r="P32" i="49"/>
  <c r="Q32" i="49"/>
  <c r="R32" i="49"/>
  <c r="J70" i="43"/>
  <c r="F70" i="43"/>
  <c r="B70" i="43"/>
  <c r="J70" i="41"/>
  <c r="F70" i="41"/>
  <c r="A66" i="28"/>
  <c r="A71" i="41"/>
  <c r="N71" i="41" s="1"/>
  <c r="A71" i="43"/>
  <c r="N71" i="43" s="1"/>
  <c r="B43" i="41"/>
  <c r="BG145" i="12"/>
  <c r="BJ145" i="12"/>
  <c r="BD146" i="12"/>
  <c r="C91" i="12"/>
  <c r="N44" i="41" s="1"/>
  <c r="J55" i="14" l="1"/>
  <c r="I50" i="53" s="1"/>
  <c r="U44" i="49"/>
  <c r="L45" i="49"/>
  <c r="H45" i="49" s="1"/>
  <c r="I45" i="49" s="1"/>
  <c r="E95" i="53"/>
  <c r="C95" i="53"/>
  <c r="I95" i="53"/>
  <c r="B95" i="53"/>
  <c r="F95" i="53"/>
  <c r="H95" i="53"/>
  <c r="V44" i="49"/>
  <c r="Z44" i="49"/>
  <c r="I49" i="53"/>
  <c r="X39" i="14"/>
  <c r="Y39" i="14" s="1"/>
  <c r="N55" i="43"/>
  <c r="H38" i="28"/>
  <c r="I38" i="28"/>
  <c r="N56" i="14"/>
  <c r="AE104" i="12"/>
  <c r="I56" i="14" s="1"/>
  <c r="M112" i="12"/>
  <c r="H64" i="14" s="1"/>
  <c r="AF106" i="12"/>
  <c r="AH106" i="12" s="1"/>
  <c r="M47" i="49"/>
  <c r="U57" i="14"/>
  <c r="V57" i="14" s="1"/>
  <c r="AC105" i="12"/>
  <c r="S56" i="14"/>
  <c r="T56" i="14" s="1"/>
  <c r="P33" i="49"/>
  <c r="Q33" i="49"/>
  <c r="R33" i="49"/>
  <c r="A67" i="28"/>
  <c r="A72" i="43"/>
  <c r="N72" i="43" s="1"/>
  <c r="A72" i="41"/>
  <c r="N72" i="41" s="1"/>
  <c r="J71" i="43"/>
  <c r="F71" i="43"/>
  <c r="B71" i="43"/>
  <c r="J71" i="41"/>
  <c r="F71" i="41"/>
  <c r="B44" i="41"/>
  <c r="BG146" i="12"/>
  <c r="BD147" i="12"/>
  <c r="BJ146" i="12"/>
  <c r="C92" i="12"/>
  <c r="J56" i="14" l="1"/>
  <c r="H51" i="53" s="1"/>
  <c r="U45" i="49"/>
  <c r="L46" i="49"/>
  <c r="H46" i="49" s="1"/>
  <c r="I46" i="49" s="1"/>
  <c r="V45" i="49"/>
  <c r="Z45" i="49"/>
  <c r="H50" i="53"/>
  <c r="X38" i="14"/>
  <c r="Y38" i="14" s="1"/>
  <c r="N56" i="43"/>
  <c r="H39" i="28"/>
  <c r="I39" i="28"/>
  <c r="N57" i="14"/>
  <c r="AE105" i="12"/>
  <c r="I57" i="14" s="1"/>
  <c r="AC106" i="12"/>
  <c r="S57" i="14"/>
  <c r="T57" i="14" s="1"/>
  <c r="AF107" i="12"/>
  <c r="AH107" i="12" s="1"/>
  <c r="M48" i="49"/>
  <c r="U58" i="14"/>
  <c r="V58" i="14" s="1"/>
  <c r="M113" i="12"/>
  <c r="H65" i="14" s="1"/>
  <c r="P34" i="49"/>
  <c r="Q34" i="49"/>
  <c r="R34" i="49"/>
  <c r="J72" i="41"/>
  <c r="F72" i="41"/>
  <c r="J72" i="43"/>
  <c r="F72" i="43"/>
  <c r="B72" i="43"/>
  <c r="A68" i="28"/>
  <c r="A73" i="41"/>
  <c r="N73" i="41" s="1"/>
  <c r="A73" i="43"/>
  <c r="N73" i="43" s="1"/>
  <c r="B45" i="41"/>
  <c r="BG147" i="12"/>
  <c r="BJ147" i="12"/>
  <c r="BD148" i="12"/>
  <c r="BG148" i="12" s="1"/>
  <c r="C93" i="12"/>
  <c r="N46" i="41" s="1"/>
  <c r="J57" i="14" l="1"/>
  <c r="I52" i="53" s="1"/>
  <c r="U46" i="49"/>
  <c r="Z46" i="49"/>
  <c r="L47" i="49"/>
  <c r="H47" i="49" s="1"/>
  <c r="I47" i="49" s="1"/>
  <c r="N58" i="14"/>
  <c r="I51" i="53"/>
  <c r="X37" i="14"/>
  <c r="Y37" i="14" s="1"/>
  <c r="N57" i="43"/>
  <c r="I40" i="28"/>
  <c r="H40" i="28"/>
  <c r="AE106" i="12"/>
  <c r="I58" i="14" s="1"/>
  <c r="AC107" i="12"/>
  <c r="S58" i="14"/>
  <c r="T58" i="14" s="1"/>
  <c r="M114" i="12"/>
  <c r="H66" i="14" s="1"/>
  <c r="AF108" i="12"/>
  <c r="AH108" i="12" s="1"/>
  <c r="M49" i="49"/>
  <c r="U59" i="14"/>
  <c r="V59" i="14" s="1"/>
  <c r="P35" i="49"/>
  <c r="Q35" i="49"/>
  <c r="R35" i="49"/>
  <c r="A69" i="28"/>
  <c r="A74" i="43"/>
  <c r="N74" i="43" s="1"/>
  <c r="A74" i="41"/>
  <c r="N74" i="41" s="1"/>
  <c r="J73" i="43"/>
  <c r="F73" i="43"/>
  <c r="B73" i="43"/>
  <c r="J73" i="41"/>
  <c r="F73" i="41"/>
  <c r="B46" i="41"/>
  <c r="BJ148" i="12"/>
  <c r="C94" i="12"/>
  <c r="N47" i="41" s="1"/>
  <c r="J58" i="14" l="1"/>
  <c r="H53" i="53" s="1"/>
  <c r="V46" i="49"/>
  <c r="U47" i="49"/>
  <c r="V47" i="49"/>
  <c r="L48" i="49"/>
  <c r="H48" i="49" s="1"/>
  <c r="I48" i="49" s="1"/>
  <c r="H52" i="53"/>
  <c r="X36" i="14"/>
  <c r="Y36" i="14" s="1"/>
  <c r="N58" i="43"/>
  <c r="H41" i="28"/>
  <c r="I41" i="28"/>
  <c r="N59" i="14"/>
  <c r="AE107" i="12"/>
  <c r="I59" i="14" s="1"/>
  <c r="AF109" i="12"/>
  <c r="AH109" i="12" s="1"/>
  <c r="M50" i="49"/>
  <c r="U60" i="14"/>
  <c r="V60" i="14" s="1"/>
  <c r="AC108" i="12"/>
  <c r="S59" i="14"/>
  <c r="T59" i="14" s="1"/>
  <c r="M115" i="12"/>
  <c r="H67" i="14" s="1"/>
  <c r="P36" i="49"/>
  <c r="R36" i="49"/>
  <c r="Q36" i="49"/>
  <c r="F74" i="41"/>
  <c r="J74" i="41"/>
  <c r="J74" i="43"/>
  <c r="F74" i="43"/>
  <c r="B74" i="43"/>
  <c r="A70" i="28"/>
  <c r="A75" i="43"/>
  <c r="N75" i="43" s="1"/>
  <c r="A75" i="41"/>
  <c r="N75" i="41" s="1"/>
  <c r="B47" i="41"/>
  <c r="C95" i="12"/>
  <c r="N48" i="41" s="1"/>
  <c r="J59" i="14" l="1"/>
  <c r="I54" i="53" s="1"/>
  <c r="Z47" i="49"/>
  <c r="V48" i="49"/>
  <c r="U48" i="49"/>
  <c r="L49" i="49"/>
  <c r="H49" i="49" s="1"/>
  <c r="I49" i="49" s="1"/>
  <c r="Z48" i="49"/>
  <c r="I53" i="53"/>
  <c r="X35" i="14"/>
  <c r="Y35" i="14" s="1"/>
  <c r="N59" i="43"/>
  <c r="I42" i="28"/>
  <c r="H42" i="28"/>
  <c r="N60" i="14"/>
  <c r="AE108" i="12"/>
  <c r="I60" i="14" s="1"/>
  <c r="J67" i="41"/>
  <c r="J67" i="43"/>
  <c r="AC109" i="12"/>
  <c r="S60" i="14"/>
  <c r="T60" i="14" s="1"/>
  <c r="M116" i="12"/>
  <c r="AF110" i="12"/>
  <c r="AH110" i="12" s="1"/>
  <c r="M51" i="49"/>
  <c r="U61" i="14"/>
  <c r="V61" i="14" s="1"/>
  <c r="P37" i="49"/>
  <c r="Q37" i="49"/>
  <c r="R37" i="49"/>
  <c r="A71" i="28"/>
  <c r="A76" i="43"/>
  <c r="N76" i="43" s="1"/>
  <c r="A76" i="41"/>
  <c r="N76" i="41" s="1"/>
  <c r="J75" i="41"/>
  <c r="F75" i="41"/>
  <c r="F75" i="43"/>
  <c r="J75" i="43"/>
  <c r="B75" i="43"/>
  <c r="B48" i="41"/>
  <c r="C96" i="12"/>
  <c r="N49" i="41" s="1"/>
  <c r="J60" i="14" l="1"/>
  <c r="U49" i="49"/>
  <c r="L50" i="49"/>
  <c r="H50" i="49" s="1"/>
  <c r="I50" i="49" s="1"/>
  <c r="R7" i="33"/>
  <c r="Z49" i="49"/>
  <c r="H54" i="53"/>
  <c r="X34" i="14"/>
  <c r="Y34" i="14" s="1"/>
  <c r="N60" i="43"/>
  <c r="I43" i="28"/>
  <c r="H43" i="28"/>
  <c r="N61" i="14"/>
  <c r="O61" i="14" s="1"/>
  <c r="AE109" i="12"/>
  <c r="I61" i="14" s="1"/>
  <c r="V49" i="49"/>
  <c r="AF111" i="12"/>
  <c r="AH111" i="12" s="1"/>
  <c r="M52" i="49"/>
  <c r="U62" i="14"/>
  <c r="V62" i="14" s="1"/>
  <c r="AC110" i="12"/>
  <c r="S61" i="14"/>
  <c r="T61" i="14" s="1"/>
  <c r="P38" i="49"/>
  <c r="Q38" i="49"/>
  <c r="R38" i="49"/>
  <c r="F76" i="41"/>
  <c r="J76" i="41"/>
  <c r="J76" i="43"/>
  <c r="F76" i="43"/>
  <c r="B76" i="43"/>
  <c r="A72" i="28"/>
  <c r="A77" i="43"/>
  <c r="N77" i="43" s="1"/>
  <c r="A77" i="41"/>
  <c r="N77" i="41" s="1"/>
  <c r="B49" i="41"/>
  <c r="C97" i="12"/>
  <c r="N50" i="41" s="1"/>
  <c r="J61" i="14" l="1"/>
  <c r="U50" i="49"/>
  <c r="V50" i="49"/>
  <c r="L51" i="49"/>
  <c r="H51" i="49" s="1"/>
  <c r="I51" i="49" s="1"/>
  <c r="Z50" i="49"/>
  <c r="X33" i="14"/>
  <c r="Y33" i="14" s="1"/>
  <c r="N61" i="43"/>
  <c r="H44" i="28"/>
  <c r="I44" i="28"/>
  <c r="N62" i="14"/>
  <c r="O62" i="14" s="1"/>
  <c r="AE110" i="12"/>
  <c r="I62" i="14" s="1"/>
  <c r="M117" i="12"/>
  <c r="AC111" i="12"/>
  <c r="S62" i="14"/>
  <c r="T62" i="14" s="1"/>
  <c r="AF112" i="12"/>
  <c r="AH112" i="12" s="1"/>
  <c r="M53" i="49"/>
  <c r="U63" i="14"/>
  <c r="V63" i="14" s="1"/>
  <c r="P39" i="49"/>
  <c r="Q39" i="49"/>
  <c r="R39" i="49"/>
  <c r="J77" i="43"/>
  <c r="F77" i="43"/>
  <c r="A73" i="28"/>
  <c r="A78" i="41"/>
  <c r="N78" i="41" s="1"/>
  <c r="A78" i="43"/>
  <c r="N78" i="43" s="1"/>
  <c r="F77" i="41"/>
  <c r="J77" i="41"/>
  <c r="B50" i="41"/>
  <c r="C98" i="12"/>
  <c r="N51" i="41" s="1"/>
  <c r="J62" i="14" l="1"/>
  <c r="U51" i="49"/>
  <c r="V51" i="49"/>
  <c r="L52" i="49"/>
  <c r="H52" i="49" s="1"/>
  <c r="I52" i="49" s="1"/>
  <c r="Z51" i="49"/>
  <c r="X32" i="14"/>
  <c r="Y32" i="14" s="1"/>
  <c r="N62" i="43"/>
  <c r="H45" i="28"/>
  <c r="I45" i="28"/>
  <c r="N63" i="14"/>
  <c r="O63" i="14" s="1"/>
  <c r="AE111" i="12"/>
  <c r="I63" i="14" s="1"/>
  <c r="M118" i="12"/>
  <c r="AF113" i="12"/>
  <c r="AH113" i="12" s="1"/>
  <c r="M54" i="49"/>
  <c r="U64" i="14"/>
  <c r="V64" i="14" s="1"/>
  <c r="AC112" i="12"/>
  <c r="S63" i="14"/>
  <c r="T63" i="14" s="1"/>
  <c r="L53" i="49"/>
  <c r="P40" i="49"/>
  <c r="Q40" i="49"/>
  <c r="R40" i="49"/>
  <c r="F78" i="41"/>
  <c r="J78" i="41"/>
  <c r="A74" i="28"/>
  <c r="A79" i="41"/>
  <c r="N79" i="41" s="1"/>
  <c r="A79" i="43"/>
  <c r="N79" i="43" s="1"/>
  <c r="F78" i="43"/>
  <c r="J78" i="43"/>
  <c r="B51" i="41"/>
  <c r="C99" i="12"/>
  <c r="N52" i="41" s="1"/>
  <c r="J63" i="14" l="1"/>
  <c r="U52" i="49"/>
  <c r="Z52" i="49"/>
  <c r="N64" i="14"/>
  <c r="O64" i="14" s="1"/>
  <c r="V52" i="49"/>
  <c r="X31" i="14"/>
  <c r="Y31" i="14" s="1"/>
  <c r="N63" i="43"/>
  <c r="I46" i="28"/>
  <c r="H46" i="28"/>
  <c r="AE112" i="12"/>
  <c r="I64" i="14" s="1"/>
  <c r="M119" i="12"/>
  <c r="AC113" i="12"/>
  <c r="S64" i="14"/>
  <c r="T64" i="14" s="1"/>
  <c r="L54" i="49"/>
  <c r="AF114" i="12"/>
  <c r="AH114" i="12" s="1"/>
  <c r="M55" i="49"/>
  <c r="U65" i="14"/>
  <c r="V65" i="14" s="1"/>
  <c r="H53" i="49"/>
  <c r="I53" i="49" s="1"/>
  <c r="P41" i="49"/>
  <c r="Q41" i="49"/>
  <c r="R41" i="49"/>
  <c r="J79" i="43"/>
  <c r="F79" i="43"/>
  <c r="F79" i="41"/>
  <c r="J79" i="41"/>
  <c r="A75" i="28"/>
  <c r="A80" i="43"/>
  <c r="N80" i="43" s="1"/>
  <c r="A80" i="41"/>
  <c r="N80" i="41" s="1"/>
  <c r="B52" i="41"/>
  <c r="C100" i="12"/>
  <c r="N53" i="41" s="1"/>
  <c r="J64" i="14" l="1"/>
  <c r="X30" i="14"/>
  <c r="Y30" i="14" s="1"/>
  <c r="N64" i="43"/>
  <c r="H47" i="28"/>
  <c r="I47" i="28"/>
  <c r="N65" i="14"/>
  <c r="O65" i="14" s="1"/>
  <c r="N66" i="14"/>
  <c r="O66" i="14" s="1"/>
  <c r="AE113" i="12"/>
  <c r="I65" i="14" s="1"/>
  <c r="M120" i="12"/>
  <c r="U53" i="49"/>
  <c r="M56" i="49"/>
  <c r="AF115" i="12"/>
  <c r="AH115" i="12" s="1"/>
  <c r="U66" i="14"/>
  <c r="V66" i="14" s="1"/>
  <c r="AC114" i="12"/>
  <c r="S65" i="14"/>
  <c r="T65" i="14" s="1"/>
  <c r="L55" i="49"/>
  <c r="H54" i="49"/>
  <c r="I54" i="49" s="1"/>
  <c r="P42" i="49"/>
  <c r="Q42" i="49"/>
  <c r="R42" i="49"/>
  <c r="A76" i="28"/>
  <c r="A81" i="41"/>
  <c r="N81" i="41" s="1"/>
  <c r="A81" i="43"/>
  <c r="N81" i="43" s="1"/>
  <c r="F80" i="43"/>
  <c r="J80" i="43"/>
  <c r="F80" i="41"/>
  <c r="J80" i="41"/>
  <c r="B53" i="41"/>
  <c r="C101" i="12"/>
  <c r="N54" i="41" s="1"/>
  <c r="J65" i="14" l="1"/>
  <c r="V53" i="49"/>
  <c r="Z53" i="49"/>
  <c r="X29" i="14"/>
  <c r="Y29" i="14" s="1"/>
  <c r="N65" i="43"/>
  <c r="H48" i="28"/>
  <c r="I48" i="28"/>
  <c r="N67" i="14"/>
  <c r="O67" i="14" s="1"/>
  <c r="AE114" i="12"/>
  <c r="I66" i="14" s="1"/>
  <c r="M121" i="12"/>
  <c r="U54" i="49"/>
  <c r="AC115" i="12"/>
  <c r="S66" i="14"/>
  <c r="T66" i="14" s="1"/>
  <c r="L56" i="49"/>
  <c r="H55" i="49"/>
  <c r="I55" i="49" s="1"/>
  <c r="U67" i="14"/>
  <c r="V67" i="14" s="1"/>
  <c r="M57" i="49"/>
  <c r="AF116" i="12"/>
  <c r="AH116" i="12" s="1"/>
  <c r="P43" i="49"/>
  <c r="R43" i="49"/>
  <c r="Q43" i="49"/>
  <c r="J81" i="43"/>
  <c r="F81" i="43"/>
  <c r="F81" i="41"/>
  <c r="J81" i="41"/>
  <c r="A77" i="28"/>
  <c r="A82" i="43"/>
  <c r="N82" i="43" s="1"/>
  <c r="A82" i="41"/>
  <c r="N82" i="41" s="1"/>
  <c r="B54" i="41"/>
  <c r="C102" i="12"/>
  <c r="N55" i="41" s="1"/>
  <c r="J66" i="14" l="1"/>
  <c r="N67" i="43"/>
  <c r="V54" i="49"/>
  <c r="Z54" i="49"/>
  <c r="X28" i="14"/>
  <c r="Y28" i="14" s="1"/>
  <c r="N66" i="43"/>
  <c r="H49" i="28"/>
  <c r="I49" i="28"/>
  <c r="AE115" i="12"/>
  <c r="I67" i="14" s="1"/>
  <c r="M122" i="12"/>
  <c r="AF117" i="12"/>
  <c r="H56" i="49"/>
  <c r="I56" i="49" s="1"/>
  <c r="U55" i="49"/>
  <c r="H57" i="52" s="1"/>
  <c r="AC116" i="12"/>
  <c r="AE116" i="12" s="1"/>
  <c r="S67" i="14"/>
  <c r="T67" i="14" s="1"/>
  <c r="P44" i="49"/>
  <c r="Q44" i="49"/>
  <c r="R44" i="49"/>
  <c r="J82" i="43"/>
  <c r="F82" i="43"/>
  <c r="A78" i="28"/>
  <c r="A83" i="43"/>
  <c r="N83" i="43" s="1"/>
  <c r="A83" i="41"/>
  <c r="N83" i="41" s="1"/>
  <c r="J82" i="41"/>
  <c r="F82" i="41"/>
  <c r="B55" i="41"/>
  <c r="C103" i="12"/>
  <c r="N56" i="41" s="1"/>
  <c r="J67" i="14" l="1"/>
  <c r="H57" i="49"/>
  <c r="I57" i="49" s="1"/>
  <c r="L57" i="49"/>
  <c r="N67" i="41"/>
  <c r="V55" i="49"/>
  <c r="Z55" i="49"/>
  <c r="X27" i="14"/>
  <c r="Y27" i="14" s="1"/>
  <c r="I50" i="28"/>
  <c r="H50" i="28"/>
  <c r="AF118" i="12"/>
  <c r="AH117" i="12"/>
  <c r="M123" i="12"/>
  <c r="F67" i="41"/>
  <c r="F67" i="43"/>
  <c r="AC117" i="12"/>
  <c r="U56" i="49"/>
  <c r="P45" i="49"/>
  <c r="Q45" i="49"/>
  <c r="R45" i="49"/>
  <c r="F83" i="43"/>
  <c r="J83" i="43"/>
  <c r="J83" i="41"/>
  <c r="F83" i="41"/>
  <c r="A79" i="28"/>
  <c r="A84" i="43"/>
  <c r="N84" i="43" s="1"/>
  <c r="A84" i="41"/>
  <c r="N84" i="41" s="1"/>
  <c r="B56" i="41"/>
  <c r="C104" i="12"/>
  <c r="N57" i="41" s="1"/>
  <c r="Z60" i="49" l="1"/>
  <c r="V56" i="49"/>
  <c r="Z56" i="49"/>
  <c r="Z59" i="49" s="1"/>
  <c r="X26" i="14"/>
  <c r="Y26" i="14" s="1"/>
  <c r="H51" i="28"/>
  <c r="I51" i="28"/>
  <c r="AF119" i="12"/>
  <c r="AH118" i="12"/>
  <c r="AC118" i="12"/>
  <c r="AE117" i="12"/>
  <c r="M124" i="12"/>
  <c r="U57" i="49"/>
  <c r="P46" i="49"/>
  <c r="Q46" i="49"/>
  <c r="R46" i="49"/>
  <c r="J84" i="43"/>
  <c r="F84" i="43"/>
  <c r="A80" i="28"/>
  <c r="A85" i="43"/>
  <c r="N85" i="43" s="1"/>
  <c r="A85" i="41"/>
  <c r="N85" i="41" s="1"/>
  <c r="J84" i="41"/>
  <c r="F84" i="41"/>
  <c r="B57" i="41"/>
  <c r="C105" i="12"/>
  <c r="N58" i="41" s="1"/>
  <c r="Z61" i="49" l="1"/>
  <c r="J6" i="14" s="1"/>
  <c r="V57" i="49"/>
  <c r="Z57" i="49"/>
  <c r="X25" i="14"/>
  <c r="Y25" i="14" s="1"/>
  <c r="H52" i="28"/>
  <c r="I52" i="28"/>
  <c r="AF120" i="12"/>
  <c r="AH119" i="12"/>
  <c r="AC119" i="12"/>
  <c r="AE118" i="12"/>
  <c r="M125" i="12"/>
  <c r="P47" i="49"/>
  <c r="Q47" i="49"/>
  <c r="R47" i="49"/>
  <c r="J85" i="41"/>
  <c r="F85" i="41"/>
  <c r="A81" i="28"/>
  <c r="A86" i="41"/>
  <c r="N86" i="41" s="1"/>
  <c r="A86" i="43"/>
  <c r="N86" i="43" s="1"/>
  <c r="J85" i="43"/>
  <c r="F85" i="43"/>
  <c r="B58" i="41"/>
  <c r="C106" i="12"/>
  <c r="N59" i="41" s="1"/>
  <c r="E7" i="33" l="1"/>
  <c r="E11" i="33"/>
  <c r="E15" i="33"/>
  <c r="E19" i="33"/>
  <c r="E23" i="33"/>
  <c r="E27" i="33"/>
  <c r="E31" i="33"/>
  <c r="E35" i="33"/>
  <c r="E39" i="33"/>
  <c r="E43" i="33"/>
  <c r="E47" i="33"/>
  <c r="E28" i="33"/>
  <c r="E36" i="33"/>
  <c r="E44" i="33"/>
  <c r="E9" i="33"/>
  <c r="E17" i="33"/>
  <c r="E25" i="33"/>
  <c r="E37" i="33"/>
  <c r="E41" i="33"/>
  <c r="E14" i="33"/>
  <c r="E22" i="33"/>
  <c r="E30" i="33"/>
  <c r="E38" i="33"/>
  <c r="E46" i="33"/>
  <c r="E8" i="33"/>
  <c r="E12" i="33"/>
  <c r="E16" i="33"/>
  <c r="E20" i="33"/>
  <c r="E24" i="33"/>
  <c r="E32" i="33"/>
  <c r="E40" i="33"/>
  <c r="E6" i="33"/>
  <c r="E13" i="33"/>
  <c r="E21" i="33"/>
  <c r="E29" i="33"/>
  <c r="E33" i="33"/>
  <c r="E45" i="33"/>
  <c r="E10" i="33"/>
  <c r="E18" i="33"/>
  <c r="E26" i="33"/>
  <c r="E34" i="33"/>
  <c r="E42" i="33"/>
  <c r="X24" i="14"/>
  <c r="Y24" i="14" s="1"/>
  <c r="H53" i="28"/>
  <c r="I53" i="28"/>
  <c r="AF121" i="12"/>
  <c r="AH120" i="12"/>
  <c r="AC120" i="12"/>
  <c r="AE119" i="12"/>
  <c r="M126" i="12"/>
  <c r="P48" i="49"/>
  <c r="R48" i="49"/>
  <c r="Q48" i="49"/>
  <c r="J86" i="41"/>
  <c r="F86" i="41"/>
  <c r="A82" i="28"/>
  <c r="A87" i="41"/>
  <c r="N87" i="41" s="1"/>
  <c r="A87" i="43"/>
  <c r="N87" i="43" s="1"/>
  <c r="F86" i="43"/>
  <c r="J86" i="43"/>
  <c r="B59" i="41"/>
  <c r="C107" i="12"/>
  <c r="N60" i="41" s="1"/>
  <c r="X23" i="14" l="1"/>
  <c r="Y23" i="14" s="1"/>
  <c r="I54" i="28"/>
  <c r="H54" i="28"/>
  <c r="AF122" i="12"/>
  <c r="AH121" i="12"/>
  <c r="AC121" i="12"/>
  <c r="AE120" i="12"/>
  <c r="M127" i="12"/>
  <c r="P49" i="49"/>
  <c r="R49" i="49"/>
  <c r="Q49" i="49"/>
  <c r="F87" i="41"/>
  <c r="J87" i="41"/>
  <c r="A83" i="28"/>
  <c r="A88" i="41"/>
  <c r="N88" i="41" s="1"/>
  <c r="A88" i="43"/>
  <c r="N88" i="43" s="1"/>
  <c r="J87" i="43"/>
  <c r="F87" i="43"/>
  <c r="B60" i="41"/>
  <c r="C108" i="12"/>
  <c r="N61" i="41" s="1"/>
  <c r="X22" i="14" l="1"/>
  <c r="Y22" i="14" s="1"/>
  <c r="AF123" i="12"/>
  <c r="AH122" i="12"/>
  <c r="AC122" i="12"/>
  <c r="AE121" i="12"/>
  <c r="M128" i="12"/>
  <c r="P50" i="49"/>
  <c r="R50" i="49"/>
  <c r="Q50" i="49"/>
  <c r="J88" i="43"/>
  <c r="F88" i="43"/>
  <c r="F88" i="41"/>
  <c r="J88" i="41"/>
  <c r="A84" i="28"/>
  <c r="A89" i="41"/>
  <c r="N89" i="41" s="1"/>
  <c r="A89" i="43"/>
  <c r="N89" i="43" s="1"/>
  <c r="B61" i="41"/>
  <c r="C109" i="12"/>
  <c r="N62" i="41" s="1"/>
  <c r="X21" i="14" l="1"/>
  <c r="Y21" i="14" s="1"/>
  <c r="AF124" i="12"/>
  <c r="AH123" i="12"/>
  <c r="AC123" i="12"/>
  <c r="AE122" i="12"/>
  <c r="M129" i="12"/>
  <c r="P51" i="49"/>
  <c r="R51" i="49"/>
  <c r="Q51" i="49"/>
  <c r="A85" i="28"/>
  <c r="A90" i="43"/>
  <c r="N90" i="43" s="1"/>
  <c r="A90" i="41"/>
  <c r="N90" i="41" s="1"/>
  <c r="F89" i="41"/>
  <c r="J89" i="41"/>
  <c r="J89" i="43"/>
  <c r="F89" i="43"/>
  <c r="B62" i="41"/>
  <c r="C110" i="12"/>
  <c r="N63" i="41" s="1"/>
  <c r="X20" i="14" l="1"/>
  <c r="Y20" i="14" s="1"/>
  <c r="AF125" i="12"/>
  <c r="AH124" i="12"/>
  <c r="AC124" i="12"/>
  <c r="AE123" i="12"/>
  <c r="M130" i="12"/>
  <c r="P52" i="49"/>
  <c r="Q52" i="49"/>
  <c r="R52" i="49"/>
  <c r="F90" i="41"/>
  <c r="J90" i="41"/>
  <c r="J90" i="43"/>
  <c r="F90" i="43"/>
  <c r="A86" i="28"/>
  <c r="A91" i="43"/>
  <c r="N91" i="43" s="1"/>
  <c r="A91" i="41"/>
  <c r="N91" i="41" s="1"/>
  <c r="B63" i="41"/>
  <c r="C111" i="12"/>
  <c r="N64" i="41" s="1"/>
  <c r="X19" i="14" l="1"/>
  <c r="Y19" i="14" s="1"/>
  <c r="AF126" i="12"/>
  <c r="AH125" i="12"/>
  <c r="AC125" i="12"/>
  <c r="AE124" i="12"/>
  <c r="M131" i="12"/>
  <c r="P53" i="49"/>
  <c r="R53" i="49"/>
  <c r="Q53" i="49"/>
  <c r="F91" i="43"/>
  <c r="J91" i="43"/>
  <c r="A87" i="28"/>
  <c r="A92" i="43"/>
  <c r="N92" i="43" s="1"/>
  <c r="A92" i="41"/>
  <c r="N92" i="41" s="1"/>
  <c r="F91" i="41"/>
  <c r="J91" i="41"/>
  <c r="B64" i="41"/>
  <c r="C112" i="12"/>
  <c r="N65" i="41" s="1"/>
  <c r="X18" i="14" l="1"/>
  <c r="Y18" i="14" s="1"/>
  <c r="AF127" i="12"/>
  <c r="AH126" i="12"/>
  <c r="AC126" i="12"/>
  <c r="AE125" i="12"/>
  <c r="M132" i="12"/>
  <c r="P54" i="49"/>
  <c r="R54" i="49"/>
  <c r="Q54" i="49"/>
  <c r="F92" i="41"/>
  <c r="J92" i="41"/>
  <c r="J92" i="43"/>
  <c r="F92" i="43"/>
  <c r="A88" i="28"/>
  <c r="A93" i="43"/>
  <c r="N93" i="43" s="1"/>
  <c r="A93" i="41"/>
  <c r="N93" i="41" s="1"/>
  <c r="B65" i="41"/>
  <c r="C113" i="12"/>
  <c r="N66" i="41" s="1"/>
  <c r="X17" i="14" l="1"/>
  <c r="Y17" i="14" s="1"/>
  <c r="AF128" i="12"/>
  <c r="AH127" i="12"/>
  <c r="AC127" i="12"/>
  <c r="AE126" i="12"/>
  <c r="M133" i="12"/>
  <c r="P55" i="49"/>
  <c r="D56" i="52" s="1"/>
  <c r="Q55" i="49"/>
  <c r="D57" i="52" s="1"/>
  <c r="R55" i="49"/>
  <c r="J93" i="43"/>
  <c r="F93" i="43"/>
  <c r="A89" i="28"/>
  <c r="A94" i="41"/>
  <c r="N94" i="41" s="1"/>
  <c r="A94" i="43"/>
  <c r="N94" i="43" s="1"/>
  <c r="F93" i="41"/>
  <c r="J93" i="41"/>
  <c r="B66" i="41"/>
  <c r="C114" i="12"/>
  <c r="Z18" i="14" l="1"/>
  <c r="Z66" i="14"/>
  <c r="Z20" i="14"/>
  <c r="Z19" i="14"/>
  <c r="Z22" i="14"/>
  <c r="Z21" i="14"/>
  <c r="Z65" i="14"/>
  <c r="Z64" i="14"/>
  <c r="Z58" i="14"/>
  <c r="Z50" i="14"/>
  <c r="Z42" i="14"/>
  <c r="Z34" i="14"/>
  <c r="Z26" i="14"/>
  <c r="Z57" i="14"/>
  <c r="Z49" i="14"/>
  <c r="Z41" i="14"/>
  <c r="Z33" i="14"/>
  <c r="Z25" i="14"/>
  <c r="Z36" i="14"/>
  <c r="Z17" i="14"/>
  <c r="Z56" i="14"/>
  <c r="Z48" i="14"/>
  <c r="Z40" i="14"/>
  <c r="Z32" i="14"/>
  <c r="Z24" i="14"/>
  <c r="Z63" i="14"/>
  <c r="Z55" i="14"/>
  <c r="Z47" i="14"/>
  <c r="Z39" i="14"/>
  <c r="Z31" i="14"/>
  <c r="Z23" i="14"/>
  <c r="Z62" i="14"/>
  <c r="Z54" i="14"/>
  <c r="Z46" i="14"/>
  <c r="Z38" i="14"/>
  <c r="Z30" i="14"/>
  <c r="Z61" i="14"/>
  <c r="Z53" i="14"/>
  <c r="Z45" i="14"/>
  <c r="Z37" i="14"/>
  <c r="Z29" i="14"/>
  <c r="Z28" i="14"/>
  <c r="Z60" i="14"/>
  <c r="Z52" i="14"/>
  <c r="Z44" i="14"/>
  <c r="Z59" i="14"/>
  <c r="Z51" i="14"/>
  <c r="Z43" i="14"/>
  <c r="Z35" i="14"/>
  <c r="Z27" i="14"/>
  <c r="AF129" i="12"/>
  <c r="AH128" i="12"/>
  <c r="AC128" i="12"/>
  <c r="AE127" i="12"/>
  <c r="M134" i="12"/>
  <c r="P56" i="49"/>
  <c r="Q56" i="49"/>
  <c r="R56" i="49"/>
  <c r="F94" i="41"/>
  <c r="J94" i="41"/>
  <c r="A90" i="28"/>
  <c r="A95" i="41"/>
  <c r="N95" i="41" s="1"/>
  <c r="A95" i="43"/>
  <c r="N95" i="43" s="1"/>
  <c r="J94" i="43"/>
  <c r="F94" i="43"/>
  <c r="B67" i="41"/>
  <c r="C115" i="12"/>
  <c r="M6" i="14" l="1"/>
  <c r="M9" i="14" s="1"/>
  <c r="E90" i="28"/>
  <c r="H90" i="28"/>
  <c r="I90" i="28"/>
  <c r="AF130" i="12"/>
  <c r="AH129" i="12"/>
  <c r="AC129" i="12"/>
  <c r="AE128" i="12"/>
  <c r="M135" i="12"/>
  <c r="P57" i="49"/>
  <c r="Q57" i="49"/>
  <c r="R57" i="49"/>
  <c r="J95" i="43"/>
  <c r="F95" i="43"/>
  <c r="J95" i="41"/>
  <c r="F95" i="41"/>
  <c r="A91" i="28"/>
  <c r="A96" i="41"/>
  <c r="N96" i="41" s="1"/>
  <c r="A96" i="43"/>
  <c r="N96" i="43" s="1"/>
  <c r="B90" i="28"/>
  <c r="C90" i="28"/>
  <c r="F90" i="28"/>
  <c r="B68" i="41"/>
  <c r="C116" i="12"/>
  <c r="D59" i="52" l="1"/>
  <c r="D62" i="52"/>
  <c r="H59" i="52"/>
  <c r="E91" i="28"/>
  <c r="I91" i="28"/>
  <c r="H91" i="28"/>
  <c r="AF131" i="12"/>
  <c r="AH130" i="12"/>
  <c r="AC130" i="12"/>
  <c r="AE129" i="12"/>
  <c r="M136" i="12"/>
  <c r="J96" i="43"/>
  <c r="F96" i="43"/>
  <c r="E96" i="43"/>
  <c r="D96" i="43"/>
  <c r="M96" i="43"/>
  <c r="L96" i="43"/>
  <c r="I96" i="43"/>
  <c r="H96" i="43"/>
  <c r="F96" i="41"/>
  <c r="J96" i="41"/>
  <c r="L96" i="41"/>
  <c r="H96" i="41"/>
  <c r="M96" i="41"/>
  <c r="I96" i="41"/>
  <c r="E96" i="41"/>
  <c r="D96" i="41"/>
  <c r="A92" i="28"/>
  <c r="A97" i="41"/>
  <c r="N97" i="41" s="1"/>
  <c r="A97" i="43"/>
  <c r="N97" i="43" s="1"/>
  <c r="B91" i="28"/>
  <c r="F91" i="28"/>
  <c r="C91" i="28"/>
  <c r="B69" i="41"/>
  <c r="C117" i="12"/>
  <c r="E92" i="28" l="1"/>
  <c r="I92" i="28"/>
  <c r="H92" i="28"/>
  <c r="AF132" i="12"/>
  <c r="AH131" i="12"/>
  <c r="AC131" i="12"/>
  <c r="AE130" i="12"/>
  <c r="M137" i="12"/>
  <c r="J97" i="43"/>
  <c r="F97" i="43"/>
  <c r="E97" i="43"/>
  <c r="M97" i="43"/>
  <c r="D97" i="43"/>
  <c r="H97" i="43"/>
  <c r="L97" i="43"/>
  <c r="I97" i="43"/>
  <c r="F97" i="41"/>
  <c r="J97" i="41"/>
  <c r="E97" i="41"/>
  <c r="I97" i="41"/>
  <c r="M97" i="41"/>
  <c r="L97" i="41"/>
  <c r="D97" i="41"/>
  <c r="H97" i="41"/>
  <c r="A93" i="28"/>
  <c r="A98" i="43"/>
  <c r="N98" i="43" s="1"/>
  <c r="A98" i="41"/>
  <c r="N98" i="41" s="1"/>
  <c r="C92" i="28"/>
  <c r="B92" i="28"/>
  <c r="F92" i="28"/>
  <c r="B70" i="41"/>
  <c r="C118" i="12"/>
  <c r="E93" i="28" l="1"/>
  <c r="I93" i="28"/>
  <c r="H93" i="28"/>
  <c r="AF133" i="12"/>
  <c r="AH132" i="12"/>
  <c r="AC132" i="12"/>
  <c r="AE131" i="12"/>
  <c r="M138" i="12"/>
  <c r="F98" i="41"/>
  <c r="J98" i="41"/>
  <c r="D98" i="41"/>
  <c r="H98" i="41"/>
  <c r="M98" i="41"/>
  <c r="E98" i="41"/>
  <c r="L98" i="41"/>
  <c r="I98" i="41"/>
  <c r="F98" i="43"/>
  <c r="J98" i="43"/>
  <c r="I98" i="43"/>
  <c r="E98" i="43"/>
  <c r="M98" i="43"/>
  <c r="H98" i="43"/>
  <c r="L98" i="43"/>
  <c r="D98" i="43"/>
  <c r="A94" i="28"/>
  <c r="A99" i="43"/>
  <c r="N99" i="43" s="1"/>
  <c r="A99" i="41"/>
  <c r="N99" i="41" s="1"/>
  <c r="F93" i="28"/>
  <c r="B93" i="28"/>
  <c r="C93" i="28"/>
  <c r="B71" i="41"/>
  <c r="C119" i="12"/>
  <c r="E94" i="28" l="1"/>
  <c r="I94" i="28"/>
  <c r="H94" i="28"/>
  <c r="AF134" i="12"/>
  <c r="AH133" i="12"/>
  <c r="AC133" i="12"/>
  <c r="AE132" i="12"/>
  <c r="M139" i="12"/>
  <c r="J99" i="41"/>
  <c r="F99" i="41"/>
  <c r="H99" i="41"/>
  <c r="M99" i="41"/>
  <c r="I99" i="41"/>
  <c r="E99" i="41"/>
  <c r="L99" i="41"/>
  <c r="D99" i="41"/>
  <c r="F99" i="43"/>
  <c r="J99" i="43"/>
  <c r="M99" i="43"/>
  <c r="I99" i="43"/>
  <c r="L99" i="43"/>
  <c r="D99" i="43"/>
  <c r="E99" i="43"/>
  <c r="H99" i="43"/>
  <c r="A95" i="28"/>
  <c r="A100" i="43"/>
  <c r="N100" i="43" s="1"/>
  <c r="A100" i="41"/>
  <c r="N100" i="41" s="1"/>
  <c r="F94" i="28"/>
  <c r="C94" i="28"/>
  <c r="B94" i="28"/>
  <c r="B72" i="41"/>
  <c r="C120" i="12"/>
  <c r="E95" i="28" l="1"/>
  <c r="I95" i="28"/>
  <c r="H95" i="28"/>
  <c r="AF135" i="12"/>
  <c r="AH134" i="12"/>
  <c r="AC134" i="12"/>
  <c r="AE133" i="12"/>
  <c r="M140" i="12"/>
  <c r="F100" i="41"/>
  <c r="J100" i="41"/>
  <c r="H100" i="41"/>
  <c r="D100" i="41"/>
  <c r="L100" i="41"/>
  <c r="E100" i="41"/>
  <c r="I100" i="41"/>
  <c r="M100" i="41"/>
  <c r="F100" i="43"/>
  <c r="J100" i="43"/>
  <c r="E100" i="43"/>
  <c r="I100" i="43"/>
  <c r="L100" i="43"/>
  <c r="D100" i="43"/>
  <c r="H100" i="43"/>
  <c r="M100" i="43"/>
  <c r="A101" i="43"/>
  <c r="N101" i="43" s="1"/>
  <c r="A101" i="41"/>
  <c r="N101" i="41" s="1"/>
  <c r="B95" i="28"/>
  <c r="F95" i="28"/>
  <c r="C95" i="28"/>
  <c r="B73" i="41"/>
  <c r="C121" i="12"/>
  <c r="AF136" i="12" l="1"/>
  <c r="AH135" i="12"/>
  <c r="AC135" i="12"/>
  <c r="AE134" i="12"/>
  <c r="M141" i="12"/>
  <c r="J101" i="41"/>
  <c r="F101" i="41"/>
  <c r="E101" i="41"/>
  <c r="M101" i="41"/>
  <c r="D101" i="41"/>
  <c r="I101" i="41"/>
  <c r="H101" i="41"/>
  <c r="L101" i="41"/>
  <c r="J101" i="43"/>
  <c r="F101" i="43"/>
  <c r="L101" i="43"/>
  <c r="D101" i="43"/>
  <c r="E101" i="43"/>
  <c r="M101" i="43"/>
  <c r="H101" i="43"/>
  <c r="I101" i="43"/>
  <c r="B74" i="41"/>
  <c r="C122" i="12"/>
  <c r="AF137" i="12" l="1"/>
  <c r="AH136" i="12"/>
  <c r="AC136" i="12"/>
  <c r="AE135" i="12"/>
  <c r="M142" i="12"/>
  <c r="B75" i="41"/>
  <c r="C123" i="12"/>
  <c r="AF138" i="12" l="1"/>
  <c r="AH137" i="12"/>
  <c r="AC137" i="12"/>
  <c r="AE136" i="12"/>
  <c r="M143" i="12"/>
  <c r="B76" i="41"/>
  <c r="C124" i="12"/>
  <c r="AF139" i="12" l="1"/>
  <c r="AH138" i="12"/>
  <c r="AC138" i="12"/>
  <c r="AE137" i="12"/>
  <c r="M144" i="12"/>
  <c r="B77" i="41"/>
  <c r="C125" i="12"/>
  <c r="D124" i="12"/>
  <c r="G124" i="12" s="1"/>
  <c r="AF140" i="12" l="1"/>
  <c r="AH139" i="12"/>
  <c r="AC139" i="12"/>
  <c r="AE138" i="12"/>
  <c r="M145" i="12"/>
  <c r="B77" i="43"/>
  <c r="B78" i="41"/>
  <c r="C126" i="12"/>
  <c r="D125" i="12"/>
  <c r="G125" i="12" s="1"/>
  <c r="F124" i="12"/>
  <c r="V124" i="12"/>
  <c r="H124" i="12" s="1"/>
  <c r="AF141" i="12" l="1"/>
  <c r="AH140" i="12"/>
  <c r="AC140" i="12"/>
  <c r="AE139" i="12"/>
  <c r="M146" i="12"/>
  <c r="B79" i="41"/>
  <c r="B78" i="43"/>
  <c r="V125" i="12"/>
  <c r="H125" i="12" s="1"/>
  <c r="F125" i="12"/>
  <c r="C127" i="12"/>
  <c r="D126" i="12"/>
  <c r="G126" i="12" s="1"/>
  <c r="J124" i="12"/>
  <c r="AF142" i="12" l="1"/>
  <c r="AH141" i="12"/>
  <c r="AC141" i="12"/>
  <c r="AE140" i="12"/>
  <c r="M148" i="12"/>
  <c r="M147" i="12"/>
  <c r="B79" i="43"/>
  <c r="J125" i="12"/>
  <c r="B80" i="41"/>
  <c r="C128" i="12"/>
  <c r="D127" i="12"/>
  <c r="G127" i="12" s="1"/>
  <c r="F126" i="12"/>
  <c r="V126" i="12"/>
  <c r="H126" i="12" s="1"/>
  <c r="AF143" i="12" l="1"/>
  <c r="AH142" i="12"/>
  <c r="AC142" i="12"/>
  <c r="AE141" i="12"/>
  <c r="J126" i="12"/>
  <c r="B80" i="43"/>
  <c r="B81" i="41"/>
  <c r="V127" i="12"/>
  <c r="H127" i="12" s="1"/>
  <c r="C129" i="12"/>
  <c r="D128" i="12"/>
  <c r="G128" i="12" s="1"/>
  <c r="F127" i="12"/>
  <c r="J127" i="12" l="1"/>
  <c r="AF144" i="12"/>
  <c r="AH143" i="12"/>
  <c r="AC143" i="12"/>
  <c r="AE142" i="12"/>
  <c r="B81" i="43"/>
  <c r="B82" i="41"/>
  <c r="C130" i="12"/>
  <c r="F128" i="12"/>
  <c r="D129" i="12"/>
  <c r="G129" i="12" s="1"/>
  <c r="V128" i="12"/>
  <c r="H128" i="12" s="1"/>
  <c r="J128" i="12" l="1"/>
  <c r="AF145" i="12"/>
  <c r="AH144" i="12"/>
  <c r="AC144" i="12"/>
  <c r="AE143" i="12"/>
  <c r="B82" i="43"/>
  <c r="B83" i="41"/>
  <c r="C131" i="12"/>
  <c r="V129" i="12"/>
  <c r="H129" i="12" s="1"/>
  <c r="F129" i="12"/>
  <c r="D130" i="12"/>
  <c r="G130" i="12" s="1"/>
  <c r="AF146" i="12" l="1"/>
  <c r="AH145" i="12"/>
  <c r="AC145" i="12"/>
  <c r="AE144" i="12"/>
  <c r="B84" i="41"/>
  <c r="B83" i="43"/>
  <c r="C132" i="12"/>
  <c r="F130" i="12"/>
  <c r="D131" i="12"/>
  <c r="G131" i="12" s="1"/>
  <c r="V130" i="12"/>
  <c r="H130" i="12" s="1"/>
  <c r="J129" i="12"/>
  <c r="AF147" i="12" l="1"/>
  <c r="AH146" i="12"/>
  <c r="AC146" i="12"/>
  <c r="AE145" i="12"/>
  <c r="B84" i="43"/>
  <c r="B85" i="41"/>
  <c r="J130" i="12"/>
  <c r="C133" i="12"/>
  <c r="D132" i="12"/>
  <c r="G132" i="12" s="1"/>
  <c r="V131" i="12"/>
  <c r="H131" i="12" s="1"/>
  <c r="F131" i="12"/>
  <c r="AF148" i="12" l="1"/>
  <c r="AH148" i="12" s="1"/>
  <c r="AH147" i="12"/>
  <c r="AC147" i="12"/>
  <c r="AE146" i="12"/>
  <c r="B85" i="43"/>
  <c r="B86" i="41"/>
  <c r="C134" i="12"/>
  <c r="V132" i="12"/>
  <c r="H132" i="12" s="1"/>
  <c r="D133" i="12"/>
  <c r="G133" i="12" s="1"/>
  <c r="J131" i="12"/>
  <c r="F132" i="12"/>
  <c r="AC148" i="12" l="1"/>
  <c r="AE148" i="12" s="1"/>
  <c r="AE147" i="12"/>
  <c r="B87" i="41"/>
  <c r="B86" i="43"/>
  <c r="C135" i="12"/>
  <c r="J132" i="12"/>
  <c r="V133" i="12"/>
  <c r="H133" i="12" s="1"/>
  <c r="D134" i="12"/>
  <c r="G134" i="12" s="1"/>
  <c r="F133" i="12"/>
  <c r="B88" i="41" l="1"/>
  <c r="B87" i="43"/>
  <c r="C136" i="12"/>
  <c r="F134" i="12"/>
  <c r="D135" i="12"/>
  <c r="G135" i="12" s="1"/>
  <c r="J133" i="12"/>
  <c r="V134" i="12"/>
  <c r="H134" i="12" s="1"/>
  <c r="B88" i="43" l="1"/>
  <c r="B89" i="41"/>
  <c r="J134" i="12"/>
  <c r="C137" i="12"/>
  <c r="D136" i="12"/>
  <c r="G136" i="12" s="1"/>
  <c r="V135" i="12"/>
  <c r="H135" i="12" s="1"/>
  <c r="F135" i="12"/>
  <c r="B90" i="41" l="1"/>
  <c r="B89" i="43"/>
  <c r="V136" i="12"/>
  <c r="H136" i="12" s="1"/>
  <c r="C138" i="12"/>
  <c r="D137" i="12"/>
  <c r="G137" i="12" s="1"/>
  <c r="J135" i="12"/>
  <c r="F136" i="12"/>
  <c r="B90" i="43" l="1"/>
  <c r="B91" i="41"/>
  <c r="C139" i="12"/>
  <c r="F137" i="12"/>
  <c r="D138" i="12"/>
  <c r="G138" i="12" s="1"/>
  <c r="V137" i="12"/>
  <c r="H137" i="12" s="1"/>
  <c r="J136" i="12"/>
  <c r="V138" i="12" l="1"/>
  <c r="H138" i="12" s="1"/>
  <c r="B91" i="43"/>
  <c r="B92" i="41"/>
  <c r="J137" i="12"/>
  <c r="C140" i="12"/>
  <c r="D139" i="12"/>
  <c r="G139" i="12" s="1"/>
  <c r="F138" i="12"/>
  <c r="B92" i="43" l="1"/>
  <c r="B93" i="41"/>
  <c r="C141" i="12"/>
  <c r="J138" i="12"/>
  <c r="F139" i="12"/>
  <c r="D140" i="12"/>
  <c r="G140" i="12" s="1"/>
  <c r="V139" i="12"/>
  <c r="H139" i="12" s="1"/>
  <c r="B93" i="43" l="1"/>
  <c r="B94" i="41"/>
  <c r="C142" i="12"/>
  <c r="V140" i="12"/>
  <c r="H140" i="12" s="1"/>
  <c r="D141" i="12"/>
  <c r="F140" i="12"/>
  <c r="J139" i="12"/>
  <c r="F141" i="12" l="1"/>
  <c r="B95" i="41"/>
  <c r="J140" i="12"/>
  <c r="V141" i="12"/>
  <c r="H141" i="12" s="1"/>
  <c r="G141" i="12"/>
  <c r="C143" i="12"/>
  <c r="D142" i="12"/>
  <c r="G142" i="12" s="1"/>
  <c r="J141" i="12" l="1"/>
  <c r="B95" i="43"/>
  <c r="B96" i="41"/>
  <c r="B94" i="43"/>
  <c r="C144" i="12"/>
  <c r="D143" i="12"/>
  <c r="G143" i="12" s="1"/>
  <c r="F142" i="12"/>
  <c r="V142" i="12"/>
  <c r="H142" i="12" s="1"/>
  <c r="B96" i="43" l="1"/>
  <c r="B97" i="41"/>
  <c r="V143" i="12"/>
  <c r="H143" i="12" s="1"/>
  <c r="C145" i="12"/>
  <c r="F143" i="12"/>
  <c r="J142" i="12"/>
  <c r="D144" i="12"/>
  <c r="G144" i="12" s="1"/>
  <c r="B97" i="43" l="1"/>
  <c r="B98" i="41"/>
  <c r="C146" i="12"/>
  <c r="D145" i="12"/>
  <c r="G145" i="12" s="1"/>
  <c r="J143" i="12"/>
  <c r="F144" i="12"/>
  <c r="V144" i="12"/>
  <c r="H144" i="12" s="1"/>
  <c r="B98" i="43" l="1"/>
  <c r="B99" i="41"/>
  <c r="C147" i="12"/>
  <c r="V145" i="12"/>
  <c r="H145" i="12" s="1"/>
  <c r="F145" i="12"/>
  <c r="J144" i="12"/>
  <c r="D146" i="12"/>
  <c r="G146" i="12" s="1"/>
  <c r="B99" i="43" l="1"/>
  <c r="B100" i="41"/>
  <c r="J145" i="12"/>
  <c r="C148" i="12"/>
  <c r="D147" i="12"/>
  <c r="G147" i="12" s="1"/>
  <c r="V146" i="12"/>
  <c r="H146" i="12" s="1"/>
  <c r="F146" i="12"/>
  <c r="N19" i="41" l="1"/>
  <c r="N20" i="41"/>
  <c r="N25" i="41"/>
  <c r="N24" i="41"/>
  <c r="N23" i="41"/>
  <c r="N21" i="41"/>
  <c r="N45" i="41"/>
  <c r="F147" i="12"/>
  <c r="V147" i="12"/>
  <c r="H147" i="12" s="1"/>
  <c r="B101" i="41"/>
  <c r="B100" i="43"/>
  <c r="J146" i="12"/>
  <c r="D148" i="12"/>
  <c r="J147" i="12" l="1"/>
  <c r="V148" i="12"/>
  <c r="H148" i="12" s="1"/>
  <c r="G148" i="12"/>
  <c r="F148" i="12"/>
  <c r="J148" i="12" l="1"/>
  <c r="B101" i="43"/>
  <c r="E7" i="49" l="1"/>
  <c r="K17" i="14"/>
  <c r="L17" i="14" s="1"/>
  <c r="M17" i="14" l="1"/>
  <c r="H7" i="49"/>
  <c r="F12" i="53"/>
  <c r="E12" i="53"/>
  <c r="U17" i="14"/>
  <c r="V17" i="14" s="1"/>
  <c r="F12" i="28"/>
  <c r="J18" i="43"/>
  <c r="J18" i="41"/>
  <c r="E12" i="28"/>
  <c r="N17" i="14" l="1"/>
  <c r="O17" i="14" s="1"/>
  <c r="O18" i="14" s="1"/>
  <c r="U7" i="49"/>
  <c r="H63" i="52" s="1"/>
  <c r="I7" i="49"/>
  <c r="Q7" i="49"/>
  <c r="H12" i="53" l="1"/>
  <c r="I12" i="53"/>
  <c r="N18" i="41"/>
  <c r="N17" i="41" s="1"/>
  <c r="D26" i="52" s="1"/>
  <c r="H12" i="28"/>
  <c r="Q18" i="14"/>
  <c r="O19" i="14"/>
  <c r="Q17" i="14"/>
  <c r="C12" i="53" s="1"/>
  <c r="I12" i="28"/>
  <c r="N18" i="43"/>
  <c r="N17" i="43" s="1"/>
  <c r="H26" i="52" s="1"/>
  <c r="D60" i="52"/>
  <c r="H60" i="52"/>
  <c r="D63" i="52"/>
  <c r="Z7" i="49"/>
  <c r="V7" i="49"/>
  <c r="R7" i="49"/>
  <c r="S7" i="33"/>
  <c r="B12" i="28" l="1"/>
  <c r="B12" i="53"/>
  <c r="F18" i="41"/>
  <c r="D41" i="52"/>
  <c r="C12" i="28"/>
  <c r="F18" i="43"/>
  <c r="H41" i="52"/>
  <c r="Q19" i="14"/>
  <c r="O20" i="14"/>
  <c r="F19" i="43"/>
  <c r="C13" i="53"/>
  <c r="B13" i="53"/>
  <c r="B13" i="28"/>
  <c r="C13" i="28"/>
  <c r="F19" i="41"/>
  <c r="T7" i="33"/>
  <c r="O21" i="14" l="1"/>
  <c r="Q20" i="14"/>
  <c r="C14" i="53"/>
  <c r="B14" i="53"/>
  <c r="F20" i="43"/>
  <c r="F20" i="41"/>
  <c r="C14" i="28"/>
  <c r="B14" i="28"/>
  <c r="J4" i="14"/>
  <c r="J11" i="14" s="1"/>
  <c r="F21" i="43" l="1"/>
  <c r="C15" i="53"/>
  <c r="B15" i="53"/>
  <c r="F21" i="41"/>
  <c r="B15" i="28"/>
  <c r="C15" i="28"/>
  <c r="O22" i="14"/>
  <c r="O23" i="14" s="1"/>
  <c r="O24" i="14" s="1"/>
  <c r="O25" i="14" s="1"/>
  <c r="O26" i="14" s="1"/>
  <c r="O27" i="14" s="1"/>
  <c r="O28" i="14" s="1"/>
  <c r="O29" i="14" s="1"/>
  <c r="O30" i="14" s="1"/>
  <c r="O31" i="14" s="1"/>
  <c r="O32" i="14" s="1"/>
  <c r="O33" i="14" s="1"/>
  <c r="O34" i="14" s="1"/>
  <c r="O35" i="14" s="1"/>
  <c r="O36" i="14" s="1"/>
  <c r="O37" i="14" s="1"/>
  <c r="O38" i="14" s="1"/>
  <c r="O39" i="14" s="1"/>
  <c r="O40" i="14" s="1"/>
  <c r="O41" i="14" s="1"/>
  <c r="O42" i="14" s="1"/>
  <c r="O43" i="14" s="1"/>
  <c r="O44" i="14" s="1"/>
  <c r="O45" i="14" s="1"/>
  <c r="O46" i="14" s="1"/>
  <c r="O47" i="14" s="1"/>
  <c r="O48" i="14" s="1"/>
  <c r="O49" i="14" s="1"/>
  <c r="O50" i="14" s="1"/>
  <c r="O51" i="14" s="1"/>
  <c r="O52" i="14" s="1"/>
  <c r="O53" i="14" s="1"/>
  <c r="O54" i="14" s="1"/>
  <c r="O55" i="14" s="1"/>
  <c r="O56" i="14" s="1"/>
  <c r="O57" i="14" s="1"/>
  <c r="O58" i="14" s="1"/>
  <c r="O59" i="14" s="1"/>
  <c r="O60" i="14" s="1"/>
  <c r="Q21" i="14"/>
  <c r="M10" i="14"/>
  <c r="M11" i="14" s="1"/>
  <c r="I7" i="33" s="1"/>
  <c r="F7" i="33"/>
  <c r="F8" i="33" s="1"/>
  <c r="F9" i="33" s="1"/>
  <c r="F10" i="33" s="1"/>
  <c r="F11" i="33" s="1"/>
  <c r="F12" i="33" s="1"/>
  <c r="F13" i="33" s="1"/>
  <c r="F22" i="43" l="1"/>
  <c r="C16" i="28"/>
  <c r="C16" i="53"/>
  <c r="B16" i="28"/>
  <c r="B16" i="53"/>
  <c r="F22" i="41"/>
  <c r="I8" i="33"/>
  <c r="L7" i="33"/>
  <c r="F14" i="33"/>
  <c r="H61" i="41" l="1"/>
  <c r="H61" i="43"/>
  <c r="P7" i="33"/>
  <c r="L8" i="33"/>
  <c r="I9" i="33"/>
  <c r="F15" i="33"/>
  <c r="I61" i="43" l="1"/>
  <c r="I61" i="41"/>
  <c r="H62" i="41"/>
  <c r="H62" i="43"/>
  <c r="L9" i="33"/>
  <c r="I10" i="33"/>
  <c r="F16" i="33"/>
  <c r="I11" i="33" l="1"/>
  <c r="L10" i="33"/>
  <c r="H63" i="41"/>
  <c r="H63" i="43"/>
  <c r="F17" i="33"/>
  <c r="H64" i="43" l="1"/>
  <c r="H64" i="41"/>
  <c r="L11" i="33"/>
  <c r="I12" i="33"/>
  <c r="F18" i="33"/>
  <c r="H65" i="43" l="1"/>
  <c r="H65" i="41"/>
  <c r="I13" i="33"/>
  <c r="L12" i="33"/>
  <c r="F19" i="33"/>
  <c r="L13" i="33" l="1"/>
  <c r="I14" i="33"/>
  <c r="H66" i="41"/>
  <c r="H66" i="43"/>
  <c r="F20" i="33"/>
  <c r="I15" i="33" l="1"/>
  <c r="L14" i="33"/>
  <c r="E61" i="53"/>
  <c r="H67" i="43"/>
  <c r="H68" i="52" s="1"/>
  <c r="H50" i="52" s="1"/>
  <c r="E61" i="28"/>
  <c r="H67" i="41"/>
  <c r="D68" i="52" s="1"/>
  <c r="D50" i="52" s="1"/>
  <c r="F21" i="33"/>
  <c r="E62" i="53" l="1"/>
  <c r="H68" i="43"/>
  <c r="E62" i="28"/>
  <c r="H68" i="41"/>
  <c r="L15" i="33"/>
  <c r="I16" i="33"/>
  <c r="F22" i="33"/>
  <c r="I17" i="33" l="1"/>
  <c r="L16" i="33"/>
  <c r="E63" i="53"/>
  <c r="H69" i="43"/>
  <c r="H69" i="41"/>
  <c r="E63" i="28"/>
  <c r="F23" i="33"/>
  <c r="E64" i="53" l="1"/>
  <c r="H70" i="43"/>
  <c r="H70" i="41"/>
  <c r="E64" i="28"/>
  <c r="L17" i="33"/>
  <c r="I18" i="33"/>
  <c r="F24" i="33"/>
  <c r="I19" i="33" l="1"/>
  <c r="L18" i="33"/>
  <c r="E65" i="53"/>
  <c r="H71" i="43"/>
  <c r="E65" i="28"/>
  <c r="H71" i="41"/>
  <c r="F25" i="33"/>
  <c r="E66" i="53" l="1"/>
  <c r="E66" i="28"/>
  <c r="H72" i="41"/>
  <c r="H72" i="43"/>
  <c r="I20" i="33"/>
  <c r="L19" i="33"/>
  <c r="F26" i="33"/>
  <c r="E67" i="53" l="1"/>
  <c r="E67" i="28"/>
  <c r="H73" i="43"/>
  <c r="H73" i="41"/>
  <c r="I21" i="33"/>
  <c r="L20" i="33"/>
  <c r="F27" i="33"/>
  <c r="E68" i="53" l="1"/>
  <c r="H74" i="41"/>
  <c r="E68" i="28"/>
  <c r="H74" i="43"/>
  <c r="I22" i="33"/>
  <c r="L21" i="33"/>
  <c r="F28" i="33"/>
  <c r="E69" i="53" l="1"/>
  <c r="H75" i="41"/>
  <c r="E69" i="28"/>
  <c r="H75" i="43"/>
  <c r="L22" i="33"/>
  <c r="I23" i="33"/>
  <c r="F29" i="33"/>
  <c r="L23" i="33" l="1"/>
  <c r="I24" i="33"/>
  <c r="E70" i="53"/>
  <c r="H76" i="43"/>
  <c r="E70" i="28"/>
  <c r="H76" i="41"/>
  <c r="F30" i="33"/>
  <c r="L24" i="33" l="1"/>
  <c r="I25" i="33"/>
  <c r="E71" i="53"/>
  <c r="E71" i="28"/>
  <c r="H77" i="43"/>
  <c r="H77" i="41"/>
  <c r="F31" i="33"/>
  <c r="I26" i="33" l="1"/>
  <c r="L25" i="33"/>
  <c r="E72" i="53"/>
  <c r="H78" i="43"/>
  <c r="E72" i="28"/>
  <c r="H78" i="41"/>
  <c r="F32" i="33"/>
  <c r="E73" i="53" l="1"/>
  <c r="E73" i="28"/>
  <c r="H79" i="43"/>
  <c r="H79" i="41"/>
  <c r="L26" i="33"/>
  <c r="I27" i="33"/>
  <c r="F33" i="33"/>
  <c r="I28" i="33" l="1"/>
  <c r="L27" i="33"/>
  <c r="E74" i="53"/>
  <c r="H80" i="43"/>
  <c r="H80" i="41"/>
  <c r="E74" i="28"/>
  <c r="F34" i="33"/>
  <c r="E75" i="53" l="1"/>
  <c r="E75" i="28"/>
  <c r="H81" i="41"/>
  <c r="H81" i="43"/>
  <c r="I29" i="33"/>
  <c r="L28" i="33"/>
  <c r="F35" i="33"/>
  <c r="E76" i="53" l="1"/>
  <c r="H82" i="41"/>
  <c r="H82" i="43"/>
  <c r="E76" i="28"/>
  <c r="I30" i="33"/>
  <c r="L29" i="33"/>
  <c r="F36" i="33"/>
  <c r="E77" i="53" l="1"/>
  <c r="H83" i="43"/>
  <c r="H83" i="41"/>
  <c r="E77" i="28"/>
  <c r="L30" i="33"/>
  <c r="I31" i="33"/>
  <c r="F37" i="33"/>
  <c r="I32" i="33" l="1"/>
  <c r="L31" i="33"/>
  <c r="E78" i="53"/>
  <c r="H84" i="43"/>
  <c r="H84" i="41"/>
  <c r="E78" i="28"/>
  <c r="F38" i="33"/>
  <c r="E79" i="53" l="1"/>
  <c r="H85" i="43"/>
  <c r="E79" i="28"/>
  <c r="H85" i="41"/>
  <c r="I33" i="33"/>
  <c r="L32" i="33"/>
  <c r="F39" i="33"/>
  <c r="E80" i="53" l="1"/>
  <c r="E80" i="28"/>
  <c r="H86" i="41"/>
  <c r="H86" i="43"/>
  <c r="L33" i="33"/>
  <c r="I34" i="33"/>
  <c r="F40" i="33"/>
  <c r="I35" i="33" l="1"/>
  <c r="L34" i="33"/>
  <c r="E81" i="53"/>
  <c r="H87" i="41"/>
  <c r="E81" i="28"/>
  <c r="H87" i="43"/>
  <c r="F41" i="33"/>
  <c r="E82" i="53" l="1"/>
  <c r="H88" i="41"/>
  <c r="E82" i="28"/>
  <c r="H88" i="43"/>
  <c r="L35" i="33"/>
  <c r="I36" i="33"/>
  <c r="F42" i="33"/>
  <c r="L36" i="33" l="1"/>
  <c r="I37" i="33"/>
  <c r="E83" i="53"/>
  <c r="E83" i="28"/>
  <c r="H89" i="43"/>
  <c r="H89" i="41"/>
  <c r="F43" i="33"/>
  <c r="I38" i="33" l="1"/>
  <c r="L37" i="33"/>
  <c r="E84" i="53"/>
  <c r="E84" i="28"/>
  <c r="H90" i="43"/>
  <c r="H90" i="41"/>
  <c r="E89" i="53"/>
  <c r="E89" i="28"/>
  <c r="H95" i="41"/>
  <c r="H95" i="43"/>
  <c r="F44" i="33"/>
  <c r="H91" i="43" l="1"/>
  <c r="H91" i="41"/>
  <c r="E85" i="53"/>
  <c r="E85" i="28"/>
  <c r="I39" i="33"/>
  <c r="L38" i="33"/>
  <c r="F45" i="33"/>
  <c r="E86" i="53" l="1"/>
  <c r="H92" i="41"/>
  <c r="H92" i="43"/>
  <c r="E86" i="28"/>
  <c r="I40" i="33"/>
  <c r="L39" i="33"/>
  <c r="F46" i="33"/>
  <c r="E87" i="53" l="1"/>
  <c r="E87" i="28"/>
  <c r="H93" i="41"/>
  <c r="H93" i="43"/>
  <c r="L40" i="33"/>
  <c r="I41" i="33"/>
  <c r="F47" i="33"/>
  <c r="E88" i="53" l="1"/>
  <c r="E88" i="28"/>
  <c r="H94" i="43"/>
  <c r="H17" i="43" s="1"/>
  <c r="H36" i="52" s="1"/>
  <c r="H94" i="41"/>
  <c r="H17" i="41" s="1"/>
  <c r="D36" i="52" s="1"/>
  <c r="I42" i="33"/>
  <c r="L41" i="33"/>
  <c r="I43" i="33" l="1"/>
  <c r="L42" i="33"/>
  <c r="G15" i="33"/>
  <c r="K15" i="33" s="1"/>
  <c r="G19" i="33"/>
  <c r="G16" i="33"/>
  <c r="K16" i="33" s="1"/>
  <c r="G17" i="33"/>
  <c r="K17" i="33" s="1"/>
  <c r="G21" i="33"/>
  <c r="K21" i="33" s="1"/>
  <c r="G25" i="33"/>
  <c r="K25" i="33" s="1"/>
  <c r="G14" i="33"/>
  <c r="G18" i="33"/>
  <c r="G22" i="33"/>
  <c r="G26" i="33"/>
  <c r="K26" i="33" s="1"/>
  <c r="G30" i="33"/>
  <c r="K30" i="33" s="1"/>
  <c r="G34" i="33"/>
  <c r="K34" i="33" s="1"/>
  <c r="G27" i="33"/>
  <c r="K27" i="33" s="1"/>
  <c r="G31" i="33"/>
  <c r="G35" i="33"/>
  <c r="K35" i="33" s="1"/>
  <c r="G37" i="33"/>
  <c r="K37" i="33" s="1"/>
  <c r="G23" i="33"/>
  <c r="K23" i="33" s="1"/>
  <c r="G28" i="33"/>
  <c r="K28" i="33" s="1"/>
  <c r="G32" i="33"/>
  <c r="K32" i="33" s="1"/>
  <c r="G36" i="33"/>
  <c r="K36" i="33" s="1"/>
  <c r="G20" i="33"/>
  <c r="K20" i="33" s="1"/>
  <c r="G24" i="33"/>
  <c r="G29" i="33"/>
  <c r="K29" i="33" s="1"/>
  <c r="G33" i="33"/>
  <c r="G39" i="33"/>
  <c r="M39" i="33" s="1"/>
  <c r="G45" i="33"/>
  <c r="G41" i="33"/>
  <c r="M41" i="33" s="1"/>
  <c r="G38" i="33"/>
  <c r="K38" i="33" s="1"/>
  <c r="G40" i="33"/>
  <c r="K40" i="33" s="1"/>
  <c r="G43" i="33"/>
  <c r="M43" i="33" s="1"/>
  <c r="G46" i="33"/>
  <c r="G42" i="33"/>
  <c r="M42" i="33" s="1"/>
  <c r="G44" i="33"/>
  <c r="M44" i="33" s="1"/>
  <c r="G47" i="33"/>
  <c r="M47" i="33" s="1"/>
  <c r="L43" i="33" l="1"/>
  <c r="I44" i="33"/>
  <c r="K44" i="33" s="1"/>
  <c r="H89" i="53"/>
  <c r="H89" i="28"/>
  <c r="L95" i="43"/>
  <c r="L95" i="41"/>
  <c r="B88" i="53"/>
  <c r="D94" i="43"/>
  <c r="D94" i="41"/>
  <c r="B88" i="28"/>
  <c r="H87" i="53"/>
  <c r="L93" i="41"/>
  <c r="L93" i="43"/>
  <c r="H87" i="28"/>
  <c r="B86" i="53"/>
  <c r="D92" i="41"/>
  <c r="D92" i="43"/>
  <c r="B86" i="28"/>
  <c r="M34" i="33"/>
  <c r="L88" i="41" s="1"/>
  <c r="M40" i="33"/>
  <c r="M38" i="33"/>
  <c r="M30" i="33"/>
  <c r="L84" i="41" s="1"/>
  <c r="K42" i="33"/>
  <c r="M27" i="33"/>
  <c r="H75" i="53" s="1"/>
  <c r="M45" i="33"/>
  <c r="K39" i="33"/>
  <c r="M37" i="33"/>
  <c r="L91" i="43" s="1"/>
  <c r="M15" i="33"/>
  <c r="L69" i="43" s="1"/>
  <c r="M23" i="33"/>
  <c r="H71" i="53" s="1"/>
  <c r="K43" i="33"/>
  <c r="M35" i="33"/>
  <c r="L89" i="43" s="1"/>
  <c r="K41" i="33"/>
  <c r="M29" i="33"/>
  <c r="H77" i="28" s="1"/>
  <c r="M25" i="33"/>
  <c r="H73" i="28" s="1"/>
  <c r="M46" i="33"/>
  <c r="M24" i="33"/>
  <c r="K24" i="33"/>
  <c r="D86" i="41"/>
  <c r="B80" i="53"/>
  <c r="D86" i="43"/>
  <c r="B80" i="28"/>
  <c r="K31" i="33"/>
  <c r="M31" i="33"/>
  <c r="K14" i="33"/>
  <c r="M14" i="33"/>
  <c r="M32" i="33"/>
  <c r="D80" i="41"/>
  <c r="B74" i="28"/>
  <c r="B74" i="53"/>
  <c r="D80" i="43"/>
  <c r="M26" i="33"/>
  <c r="K33" i="33"/>
  <c r="M33" i="33"/>
  <c r="D88" i="41"/>
  <c r="B82" i="53"/>
  <c r="D88" i="43"/>
  <c r="B82" i="28"/>
  <c r="K22" i="33"/>
  <c r="M22" i="33"/>
  <c r="D74" i="41"/>
  <c r="D74" i="43"/>
  <c r="B68" i="53"/>
  <c r="B68" i="28"/>
  <c r="D90" i="41"/>
  <c r="B84" i="53"/>
  <c r="D90" i="43"/>
  <c r="B84" i="28"/>
  <c r="B76" i="28"/>
  <c r="B76" i="53"/>
  <c r="D82" i="41"/>
  <c r="D82" i="43"/>
  <c r="B85" i="53"/>
  <c r="D91" i="43"/>
  <c r="B85" i="28"/>
  <c r="D91" i="41"/>
  <c r="D89" i="43"/>
  <c r="D89" i="41"/>
  <c r="B83" i="28"/>
  <c r="B83" i="53"/>
  <c r="D81" i="43"/>
  <c r="D81" i="41"/>
  <c r="B75" i="28"/>
  <c r="B75" i="53"/>
  <c r="M36" i="33"/>
  <c r="K19" i="33"/>
  <c r="M19" i="33"/>
  <c r="D83" i="41"/>
  <c r="B77" i="28"/>
  <c r="D83" i="43"/>
  <c r="B77" i="53"/>
  <c r="D77" i="43"/>
  <c r="D77" i="41"/>
  <c r="B71" i="53"/>
  <c r="B71" i="28"/>
  <c r="B78" i="53"/>
  <c r="B78" i="28"/>
  <c r="D84" i="43"/>
  <c r="D84" i="41"/>
  <c r="M28" i="33"/>
  <c r="K18" i="33"/>
  <c r="M18" i="33"/>
  <c r="M20" i="33"/>
  <c r="B73" i="28"/>
  <c r="D79" i="43"/>
  <c r="B73" i="53"/>
  <c r="D79" i="41"/>
  <c r="B65" i="28"/>
  <c r="D71" i="43"/>
  <c r="D71" i="41"/>
  <c r="B65" i="53"/>
  <c r="D70" i="43"/>
  <c r="B64" i="53"/>
  <c r="D70" i="41"/>
  <c r="B64" i="28"/>
  <c r="M16" i="33"/>
  <c r="M21" i="33"/>
  <c r="D69" i="43"/>
  <c r="B63" i="28"/>
  <c r="D69" i="41"/>
  <c r="B63" i="53"/>
  <c r="B69" i="28"/>
  <c r="B69" i="53"/>
  <c r="D75" i="41"/>
  <c r="D75" i="43"/>
  <c r="M17" i="33"/>
  <c r="I45" i="33" l="1"/>
  <c r="L44" i="33"/>
  <c r="B89" i="53"/>
  <c r="B89" i="28"/>
  <c r="D95" i="43"/>
  <c r="D95" i="41"/>
  <c r="L88" i="43"/>
  <c r="H88" i="53"/>
  <c r="L94" i="43"/>
  <c r="L94" i="41"/>
  <c r="H88" i="28"/>
  <c r="B87" i="53"/>
  <c r="B87" i="28"/>
  <c r="D93" i="41"/>
  <c r="D93" i="43"/>
  <c r="L69" i="41"/>
  <c r="H83" i="53"/>
  <c r="H63" i="28"/>
  <c r="L83" i="41"/>
  <c r="H82" i="28"/>
  <c r="H82" i="53"/>
  <c r="H86" i="53"/>
  <c r="L92" i="43"/>
  <c r="L92" i="41"/>
  <c r="H86" i="28"/>
  <c r="H63" i="53"/>
  <c r="H83" i="28"/>
  <c r="L89" i="41"/>
  <c r="H75" i="28"/>
  <c r="H78" i="28"/>
  <c r="L77" i="43"/>
  <c r="H85" i="53"/>
  <c r="H73" i="53"/>
  <c r="L84" i="43"/>
  <c r="H78" i="53"/>
  <c r="L79" i="43"/>
  <c r="L81" i="41"/>
  <c r="L91" i="41"/>
  <c r="L79" i="41"/>
  <c r="L81" i="43"/>
  <c r="H85" i="28"/>
  <c r="L77" i="41"/>
  <c r="L83" i="43"/>
  <c r="H71" i="28"/>
  <c r="H77" i="53"/>
  <c r="B66" i="53"/>
  <c r="D72" i="41"/>
  <c r="D72" i="43"/>
  <c r="B66" i="28"/>
  <c r="H80" i="53"/>
  <c r="L86" i="41"/>
  <c r="L86" i="43"/>
  <c r="H80" i="28"/>
  <c r="B72" i="28"/>
  <c r="D78" i="43"/>
  <c r="D78" i="41"/>
  <c r="B72" i="53"/>
  <c r="L82" i="41"/>
  <c r="H76" i="28"/>
  <c r="L82" i="43"/>
  <c r="H76" i="53"/>
  <c r="H70" i="53"/>
  <c r="L76" i="41"/>
  <c r="L76" i="43"/>
  <c r="H70" i="28"/>
  <c r="L87" i="41"/>
  <c r="H81" i="28"/>
  <c r="H81" i="53"/>
  <c r="L87" i="43"/>
  <c r="L80" i="41"/>
  <c r="H74" i="53"/>
  <c r="L80" i="43"/>
  <c r="H74" i="28"/>
  <c r="L85" i="43"/>
  <c r="L85" i="41"/>
  <c r="H79" i="53"/>
  <c r="H79" i="28"/>
  <c r="H72" i="53"/>
  <c r="H72" i="28"/>
  <c r="L78" i="43"/>
  <c r="L78" i="41"/>
  <c r="H65" i="28"/>
  <c r="L71" i="41"/>
  <c r="L71" i="43"/>
  <c r="H65" i="53"/>
  <c r="H69" i="28"/>
  <c r="H69" i="53"/>
  <c r="L75" i="43"/>
  <c r="L75" i="41"/>
  <c r="L70" i="41"/>
  <c r="H64" i="28"/>
  <c r="H64" i="53"/>
  <c r="L70" i="43"/>
  <c r="H68" i="53"/>
  <c r="L74" i="43"/>
  <c r="H68" i="28"/>
  <c r="L74" i="41"/>
  <c r="L73" i="43"/>
  <c r="L73" i="41"/>
  <c r="H67" i="53"/>
  <c r="H67" i="28"/>
  <c r="L90" i="41"/>
  <c r="H84" i="53"/>
  <c r="L90" i="43"/>
  <c r="H84" i="28"/>
  <c r="B70" i="28"/>
  <c r="B70" i="53"/>
  <c r="D76" i="43"/>
  <c r="D76" i="41"/>
  <c r="D87" i="43"/>
  <c r="D87" i="41"/>
  <c r="B81" i="28"/>
  <c r="B81" i="53"/>
  <c r="L68" i="43"/>
  <c r="H62" i="53"/>
  <c r="H62" i="28"/>
  <c r="L68" i="41"/>
  <c r="B79" i="53"/>
  <c r="D85" i="41"/>
  <c r="D85" i="43"/>
  <c r="B79" i="28"/>
  <c r="L72" i="43"/>
  <c r="L72" i="41"/>
  <c r="H66" i="28"/>
  <c r="H66" i="53"/>
  <c r="D73" i="41"/>
  <c r="B67" i="28"/>
  <c r="D73" i="43"/>
  <c r="B67" i="53"/>
  <c r="B62" i="28"/>
  <c r="D68" i="41"/>
  <c r="D68" i="43"/>
  <c r="B62" i="53"/>
  <c r="G8" i="33"/>
  <c r="M8" i="33" s="1"/>
  <c r="G12" i="33"/>
  <c r="G13" i="33"/>
  <c r="G11" i="33"/>
  <c r="M11" i="33" s="1"/>
  <c r="L65" i="43" s="1"/>
  <c r="G10" i="33"/>
  <c r="G9" i="33"/>
  <c r="G7" i="33"/>
  <c r="K7" i="33" s="1"/>
  <c r="D61" i="41" l="1"/>
  <c r="D61" i="43"/>
  <c r="H56" i="53"/>
  <c r="H56" i="28"/>
  <c r="L62" i="41"/>
  <c r="L62" i="43"/>
  <c r="I46" i="33"/>
  <c r="L45" i="33"/>
  <c r="K45" i="33"/>
  <c r="K9" i="33"/>
  <c r="D63" i="41" s="1"/>
  <c r="M9" i="33"/>
  <c r="L63" i="43" s="1"/>
  <c r="K12" i="33"/>
  <c r="M12" i="33"/>
  <c r="H60" i="28" s="1"/>
  <c r="K8" i="33"/>
  <c r="K11" i="33"/>
  <c r="M7" i="33"/>
  <c r="M13" i="33"/>
  <c r="K13" i="33"/>
  <c r="H57" i="28"/>
  <c r="M10" i="33"/>
  <c r="K10" i="33"/>
  <c r="L65" i="41"/>
  <c r="H59" i="28"/>
  <c r="H59" i="53"/>
  <c r="I47" i="33" l="1"/>
  <c r="L46" i="33"/>
  <c r="K46" i="33"/>
  <c r="D62" i="43"/>
  <c r="D62" i="41"/>
  <c r="Q7" i="33"/>
  <c r="H55" i="53"/>
  <c r="H55" i="28"/>
  <c r="L61" i="41"/>
  <c r="L61" i="43"/>
  <c r="D65" i="43"/>
  <c r="D66" i="43"/>
  <c r="L63" i="41"/>
  <c r="D66" i="41"/>
  <c r="D65" i="41"/>
  <c r="H57" i="53"/>
  <c r="D63" i="43"/>
  <c r="L66" i="43"/>
  <c r="L66" i="41"/>
  <c r="H60" i="53"/>
  <c r="H58" i="53"/>
  <c r="L64" i="43"/>
  <c r="H58" i="28"/>
  <c r="L64" i="41"/>
  <c r="H61" i="28"/>
  <c r="L67" i="41"/>
  <c r="H61" i="53"/>
  <c r="L67" i="43"/>
  <c r="H69" i="52" s="1"/>
  <c r="H51" i="52" s="1"/>
  <c r="B61" i="28"/>
  <c r="D67" i="43"/>
  <c r="D67" i="41"/>
  <c r="B61" i="53"/>
  <c r="D64" i="41"/>
  <c r="D64" i="43"/>
  <c r="D69" i="52" l="1"/>
  <c r="D51" i="52" s="1"/>
  <c r="N7" i="33"/>
  <c r="I55" i="53"/>
  <c r="I55" i="28"/>
  <c r="M61" i="41"/>
  <c r="M61" i="43"/>
  <c r="L47" i="33"/>
  <c r="K47" i="33"/>
  <c r="D67" i="52"/>
  <c r="D49" i="52" s="1"/>
  <c r="H67" i="52"/>
  <c r="H49" i="52" s="1"/>
  <c r="H11" i="28"/>
  <c r="D10" i="52" s="1"/>
  <c r="L17" i="41"/>
  <c r="D37" i="52" s="1"/>
  <c r="H11" i="53"/>
  <c r="H10" i="52" s="1"/>
  <c r="D17" i="43"/>
  <c r="H77" i="52"/>
  <c r="D77" i="52"/>
  <c r="L17" i="43"/>
  <c r="D17" i="41"/>
  <c r="D35" i="52" s="1"/>
  <c r="D74" i="52"/>
  <c r="H74" i="52"/>
  <c r="O7" i="33" l="1"/>
  <c r="R8" i="33" s="1"/>
  <c r="S8" i="33" s="1"/>
  <c r="E61" i="43"/>
  <c r="E61" i="41"/>
  <c r="U7" i="33"/>
  <c r="N12" i="41"/>
  <c r="D33" i="52" s="1"/>
  <c r="H35" i="52"/>
  <c r="N12" i="43"/>
  <c r="H33" i="52" s="1"/>
  <c r="H37" i="52"/>
  <c r="P8" i="33" l="1"/>
  <c r="T8" i="33"/>
  <c r="Q8" i="33" s="1"/>
  <c r="N8" i="33" l="1"/>
  <c r="I56" i="53"/>
  <c r="I56" i="28"/>
  <c r="M62" i="43"/>
  <c r="M62" i="41"/>
  <c r="I62" i="43"/>
  <c r="I62" i="41"/>
  <c r="O8" i="33" l="1"/>
  <c r="R9" i="33" s="1"/>
  <c r="S9" i="33" s="1"/>
  <c r="E62" i="41"/>
  <c r="E62" i="43"/>
  <c r="U8" i="33"/>
  <c r="P9" i="33" l="1"/>
  <c r="T9" i="33"/>
  <c r="Q9" i="33" s="1"/>
  <c r="I57" i="53" l="1"/>
  <c r="I57" i="28"/>
  <c r="M63" i="41"/>
  <c r="M63" i="43"/>
  <c r="N9" i="33"/>
  <c r="I63" i="43"/>
  <c r="I63" i="41"/>
  <c r="O9" i="33" l="1"/>
  <c r="R10" i="33" s="1"/>
  <c r="S10" i="33" s="1"/>
  <c r="E63" i="41"/>
  <c r="U9" i="33"/>
  <c r="E63" i="43"/>
  <c r="T10" i="33" l="1"/>
  <c r="Q10" i="33" s="1"/>
  <c r="P10" i="33"/>
  <c r="I64" i="41" l="1"/>
  <c r="I64" i="43"/>
  <c r="N10" i="33"/>
  <c r="M64" i="43"/>
  <c r="M64" i="41"/>
  <c r="I58" i="28"/>
  <c r="I58" i="53"/>
  <c r="O10" i="33" l="1"/>
  <c r="R11" i="33" s="1"/>
  <c r="S11" i="33" s="1"/>
  <c r="U10" i="33"/>
  <c r="E64" i="41"/>
  <c r="E64" i="43"/>
  <c r="P11" i="33" l="1"/>
  <c r="T11" i="33"/>
  <c r="Q11" i="33" s="1"/>
  <c r="I59" i="28" l="1"/>
  <c r="M65" i="41"/>
  <c r="I59" i="53"/>
  <c r="M65" i="43"/>
  <c r="I65" i="41"/>
  <c r="N11" i="33"/>
  <c r="I65" i="43"/>
  <c r="U11" i="33" l="1"/>
  <c r="E65" i="43"/>
  <c r="E65" i="41"/>
  <c r="O11" i="33"/>
  <c r="R12" i="33" s="1"/>
  <c r="S12" i="33" s="1"/>
  <c r="P12" i="33" l="1"/>
  <c r="T12" i="33"/>
  <c r="Q12" i="33" s="1"/>
  <c r="M66" i="43" l="1"/>
  <c r="I60" i="53"/>
  <c r="I60" i="28"/>
  <c r="M66" i="41"/>
  <c r="I66" i="41"/>
  <c r="I66" i="43"/>
  <c r="N12" i="33"/>
  <c r="O12" i="33" l="1"/>
  <c r="R13" i="33" s="1"/>
  <c r="S13" i="33" s="1"/>
  <c r="U12" i="33"/>
  <c r="E66" i="41"/>
  <c r="E66" i="43"/>
  <c r="P13" i="33" l="1"/>
  <c r="T13" i="33"/>
  <c r="Q13" i="33" s="1"/>
  <c r="I61" i="28" l="1"/>
  <c r="M67" i="41"/>
  <c r="D72" i="52" s="1"/>
  <c r="D48" i="52" s="1"/>
  <c r="I61" i="53"/>
  <c r="M67" i="43"/>
  <c r="H72" i="52" s="1"/>
  <c r="H48" i="52" s="1"/>
  <c r="F61" i="53"/>
  <c r="N13" i="33"/>
  <c r="I67" i="41"/>
  <c r="D71" i="52" s="1"/>
  <c r="D47" i="52" s="1"/>
  <c r="I67" i="43"/>
  <c r="H71" i="52" s="1"/>
  <c r="H47" i="52" s="1"/>
  <c r="F61" i="28"/>
  <c r="C61" i="53" l="1"/>
  <c r="O13" i="33"/>
  <c r="R14" i="33" s="1"/>
  <c r="S14" i="33" s="1"/>
  <c r="E67" i="43"/>
  <c r="H70" i="52" s="1"/>
  <c r="H46" i="52" s="1"/>
  <c r="C61" i="28"/>
  <c r="E67" i="41"/>
  <c r="D70" i="52" s="1"/>
  <c r="D46" i="52" s="1"/>
  <c r="U13" i="33"/>
  <c r="T14" i="33" l="1"/>
  <c r="Q14" i="33" s="1"/>
  <c r="P14" i="33"/>
  <c r="I68" i="41" l="1"/>
  <c r="N14" i="33"/>
  <c r="I68" i="43"/>
  <c r="F62" i="28"/>
  <c r="F62" i="53"/>
  <c r="M68" i="41"/>
  <c r="M68" i="43"/>
  <c r="I62" i="53"/>
  <c r="I62" i="28"/>
  <c r="E68" i="41" l="1"/>
  <c r="E68" i="43"/>
  <c r="O14" i="33"/>
  <c r="R15" i="33" s="1"/>
  <c r="S15" i="33" s="1"/>
  <c r="U14" i="33"/>
  <c r="C62" i="28"/>
  <c r="C62" i="53"/>
  <c r="T15" i="33" l="1"/>
  <c r="Q15" i="33" s="1"/>
  <c r="P15" i="33"/>
  <c r="F63" i="53" l="1"/>
  <c r="I69" i="43"/>
  <c r="N15" i="33"/>
  <c r="F63" i="28"/>
  <c r="I69" i="41"/>
  <c r="I63" i="53"/>
  <c r="M69" i="43"/>
  <c r="M69" i="41"/>
  <c r="I63" i="28"/>
  <c r="E69" i="41" l="1"/>
  <c r="C63" i="53"/>
  <c r="C63" i="28"/>
  <c r="O15" i="33"/>
  <c r="R16" i="33" s="1"/>
  <c r="S16" i="33" s="1"/>
  <c r="E69" i="43"/>
  <c r="U15" i="33"/>
  <c r="T16" i="33" l="1"/>
  <c r="Q16" i="33" s="1"/>
  <c r="P16" i="33"/>
  <c r="I70" i="41" l="1"/>
  <c r="F64" i="28"/>
  <c r="N16" i="33"/>
  <c r="F64" i="53"/>
  <c r="I70" i="43"/>
  <c r="M70" i="43"/>
  <c r="I64" i="28"/>
  <c r="M70" i="41"/>
  <c r="I64" i="53"/>
  <c r="E70" i="43" l="1"/>
  <c r="O16" i="33"/>
  <c r="R17" i="33" s="1"/>
  <c r="S17" i="33" s="1"/>
  <c r="U16" i="33"/>
  <c r="C64" i="53"/>
  <c r="C64" i="28"/>
  <c r="E70" i="41"/>
  <c r="T17" i="33" l="1"/>
  <c r="Q17" i="33" s="1"/>
  <c r="P17" i="33"/>
  <c r="N17" i="33" l="1"/>
  <c r="F65" i="28"/>
  <c r="I71" i="43"/>
  <c r="F65" i="53"/>
  <c r="I71" i="41"/>
  <c r="M71" i="41"/>
  <c r="I65" i="28"/>
  <c r="I65" i="53"/>
  <c r="M71" i="43"/>
  <c r="E71" i="41" l="1"/>
  <c r="O17" i="33"/>
  <c r="R18" i="33" s="1"/>
  <c r="S18" i="33" s="1"/>
  <c r="U17" i="33"/>
  <c r="C65" i="28"/>
  <c r="E71" i="43"/>
  <c r="C65" i="53"/>
  <c r="T18" i="33" l="1"/>
  <c r="Q18" i="33" s="1"/>
  <c r="P18" i="33"/>
  <c r="I72" i="43" l="1"/>
  <c r="N18" i="33"/>
  <c r="I72" i="41"/>
  <c r="F66" i="53"/>
  <c r="F66" i="28"/>
  <c r="I66" i="28"/>
  <c r="M72" i="41"/>
  <c r="I66" i="53"/>
  <c r="M72" i="43"/>
  <c r="C66" i="28" l="1"/>
  <c r="E72" i="43"/>
  <c r="O18" i="33"/>
  <c r="R19" i="33" s="1"/>
  <c r="S19" i="33" s="1"/>
  <c r="U18" i="33"/>
  <c r="C66" i="53"/>
  <c r="E72" i="41"/>
  <c r="P19" i="33" l="1"/>
  <c r="T19" i="33"/>
  <c r="Q19" i="33" s="1"/>
  <c r="I67" i="28" l="1"/>
  <c r="I67" i="53"/>
  <c r="M73" i="41"/>
  <c r="M73" i="43"/>
  <c r="I73" i="43"/>
  <c r="F67" i="53"/>
  <c r="F67" i="28"/>
  <c r="N19" i="33"/>
  <c r="I73" i="41"/>
  <c r="U19" i="33" l="1"/>
  <c r="C67" i="28"/>
  <c r="O19" i="33"/>
  <c r="R20" i="33" s="1"/>
  <c r="S20" i="33" s="1"/>
  <c r="E73" i="43"/>
  <c r="C67" i="53"/>
  <c r="E73" i="41"/>
  <c r="T20" i="33" l="1"/>
  <c r="Q20" i="33" s="1"/>
  <c r="P20" i="33"/>
  <c r="F68" i="28" l="1"/>
  <c r="I74" i="41"/>
  <c r="I74" i="43"/>
  <c r="N20" i="33"/>
  <c r="F68" i="53"/>
  <c r="I68" i="53"/>
  <c r="M74" i="41"/>
  <c r="I68" i="28"/>
  <c r="M74" i="43"/>
  <c r="E74" i="41" l="1"/>
  <c r="U20" i="33"/>
  <c r="E74" i="43"/>
  <c r="O20" i="33"/>
  <c r="R21" i="33" s="1"/>
  <c r="S21" i="33" s="1"/>
  <c r="C68" i="53"/>
  <c r="C68" i="28"/>
  <c r="P21" i="33" l="1"/>
  <c r="T21" i="33"/>
  <c r="Q21" i="33" s="1"/>
  <c r="M75" i="41" l="1"/>
  <c r="M75" i="43"/>
  <c r="I69" i="53"/>
  <c r="I69" i="28"/>
  <c r="F69" i="28"/>
  <c r="I75" i="43"/>
  <c r="N21" i="33"/>
  <c r="F69" i="53"/>
  <c r="I75" i="41"/>
  <c r="C69" i="28" l="1"/>
  <c r="E75" i="43"/>
  <c r="U21" i="33"/>
  <c r="O21" i="33"/>
  <c r="R22" i="33" s="1"/>
  <c r="S22" i="33" s="1"/>
  <c r="C69" i="53"/>
  <c r="E75" i="41"/>
  <c r="P22" i="33" l="1"/>
  <c r="T22" i="33"/>
  <c r="Q22" i="33" s="1"/>
  <c r="I70" i="28" l="1"/>
  <c r="M76" i="41"/>
  <c r="I70" i="53"/>
  <c r="M76" i="43"/>
  <c r="I76" i="43"/>
  <c r="F70" i="53"/>
  <c r="F70" i="28"/>
  <c r="N22" i="33"/>
  <c r="I76" i="41"/>
  <c r="C70" i="53" l="1"/>
  <c r="E76" i="41"/>
  <c r="U22" i="33"/>
  <c r="C70" i="28"/>
  <c r="O22" i="33"/>
  <c r="R23" i="33" s="1"/>
  <c r="S23" i="33" s="1"/>
  <c r="E76" i="43"/>
  <c r="P23" i="33" l="1"/>
  <c r="T23" i="33"/>
  <c r="Q23" i="33" s="1"/>
  <c r="M77" i="43" l="1"/>
  <c r="I71" i="53"/>
  <c r="M77" i="41"/>
  <c r="I71" i="28"/>
  <c r="I77" i="41"/>
  <c r="F71" i="53"/>
  <c r="F71" i="28"/>
  <c r="N23" i="33"/>
  <c r="I77" i="43"/>
  <c r="C71" i="28" l="1"/>
  <c r="O23" i="33"/>
  <c r="R24" i="33" s="1"/>
  <c r="S24" i="33" s="1"/>
  <c r="E77" i="41"/>
  <c r="C71" i="53"/>
  <c r="E77" i="43"/>
  <c r="U23" i="33"/>
  <c r="P24" i="33" l="1"/>
  <c r="T24" i="33"/>
  <c r="Q24" i="33" s="1"/>
  <c r="I72" i="53" l="1"/>
  <c r="I72" i="28"/>
  <c r="M78" i="43"/>
  <c r="M78" i="41"/>
  <c r="N24" i="33"/>
  <c r="I78" i="43"/>
  <c r="F72" i="28"/>
  <c r="F72" i="53"/>
  <c r="I78" i="41"/>
  <c r="C72" i="53" l="1"/>
  <c r="U24" i="33"/>
  <c r="E78" i="41"/>
  <c r="O24" i="33"/>
  <c r="R25" i="33" s="1"/>
  <c r="S25" i="33" s="1"/>
  <c r="E78" i="43"/>
  <c r="C72" i="28"/>
  <c r="T25" i="33" l="1"/>
  <c r="Q25" i="33" s="1"/>
  <c r="P25" i="33"/>
  <c r="F73" i="28" l="1"/>
  <c r="F73" i="53"/>
  <c r="N25" i="33"/>
  <c r="I79" i="43"/>
  <c r="I79" i="41"/>
  <c r="M79" i="41"/>
  <c r="I73" i="53"/>
  <c r="I73" i="28"/>
  <c r="M79" i="43"/>
  <c r="O25" i="33" l="1"/>
  <c r="R26" i="33" s="1"/>
  <c r="S26" i="33" s="1"/>
  <c r="E79" i="43"/>
  <c r="C73" i="28"/>
  <c r="U25" i="33"/>
  <c r="C73" i="53"/>
  <c r="E79" i="41"/>
  <c r="T26" i="33" l="1"/>
  <c r="Q26" i="33" s="1"/>
  <c r="P26" i="33"/>
  <c r="F74" i="53" l="1"/>
  <c r="I80" i="43"/>
  <c r="I80" i="41"/>
  <c r="N26" i="33"/>
  <c r="F74" i="28"/>
  <c r="M80" i="43"/>
  <c r="I74" i="28"/>
  <c r="M80" i="41"/>
  <c r="I74" i="53"/>
  <c r="U26" i="33" l="1"/>
  <c r="E80" i="43"/>
  <c r="O26" i="33"/>
  <c r="R27" i="33" s="1"/>
  <c r="S27" i="33" s="1"/>
  <c r="C74" i="28"/>
  <c r="C74" i="53"/>
  <c r="E80" i="41"/>
  <c r="T27" i="33" l="1"/>
  <c r="Q27" i="33" s="1"/>
  <c r="P27" i="33"/>
  <c r="I81" i="41" l="1"/>
  <c r="F75" i="53"/>
  <c r="N27" i="33"/>
  <c r="F75" i="28"/>
  <c r="I81" i="43"/>
  <c r="I75" i="28"/>
  <c r="M81" i="41"/>
  <c r="I75" i="53"/>
  <c r="M81" i="43"/>
  <c r="U27" i="33" l="1"/>
  <c r="C75" i="53"/>
  <c r="O27" i="33"/>
  <c r="R28" i="33" s="1"/>
  <c r="S28" i="33" s="1"/>
  <c r="E81" i="41"/>
  <c r="E81" i="43"/>
  <c r="C75" i="28"/>
  <c r="P28" i="33" l="1"/>
  <c r="T28" i="33"/>
  <c r="Q28" i="33" s="1"/>
  <c r="M82" i="43" l="1"/>
  <c r="I76" i="53"/>
  <c r="M82" i="41"/>
  <c r="I76" i="28"/>
  <c r="I82" i="43"/>
  <c r="F76" i="53"/>
  <c r="F76" i="28"/>
  <c r="I82" i="41"/>
  <c r="N28" i="33"/>
  <c r="E82" i="43" l="1"/>
  <c r="C76" i="28"/>
  <c r="E82" i="41"/>
  <c r="U28" i="33"/>
  <c r="C76" i="53"/>
  <c r="O28" i="33"/>
  <c r="R29" i="33" s="1"/>
  <c r="S29" i="33" s="1"/>
  <c r="P29" i="33" l="1"/>
  <c r="T29" i="33"/>
  <c r="Q29" i="33" s="1"/>
  <c r="M83" i="43" l="1"/>
  <c r="I77" i="53"/>
  <c r="I77" i="28"/>
  <c r="M83" i="41"/>
  <c r="F77" i="53"/>
  <c r="N29" i="33"/>
  <c r="F77" i="28"/>
  <c r="I83" i="41"/>
  <c r="I83" i="43"/>
  <c r="E83" i="41" l="1"/>
  <c r="U29" i="33"/>
  <c r="E83" i="43"/>
  <c r="O29" i="33"/>
  <c r="R30" i="33" s="1"/>
  <c r="S30" i="33" s="1"/>
  <c r="C77" i="28"/>
  <c r="C77" i="53"/>
  <c r="P30" i="33" l="1"/>
  <c r="T30" i="33"/>
  <c r="Q30" i="33" s="1"/>
  <c r="I78" i="28" l="1"/>
  <c r="I78" i="53"/>
  <c r="M84" i="43"/>
  <c r="M84" i="41"/>
  <c r="N30" i="33"/>
  <c r="I84" i="41"/>
  <c r="F78" i="28"/>
  <c r="I84" i="43"/>
  <c r="F78" i="53"/>
  <c r="E84" i="43" l="1"/>
  <c r="E84" i="41"/>
  <c r="U30" i="33"/>
  <c r="C78" i="53"/>
  <c r="O30" i="33"/>
  <c r="R31" i="33" s="1"/>
  <c r="S31" i="33" s="1"/>
  <c r="C78" i="28"/>
  <c r="T31" i="33" l="1"/>
  <c r="Q31" i="33" s="1"/>
  <c r="P31" i="33"/>
  <c r="I85" i="41" l="1"/>
  <c r="F79" i="28"/>
  <c r="N31" i="33"/>
  <c r="F79" i="53"/>
  <c r="I85" i="43"/>
  <c r="I79" i="53"/>
  <c r="M85" i="41"/>
  <c r="M85" i="43"/>
  <c r="I79" i="28"/>
  <c r="U31" i="33" l="1"/>
  <c r="E85" i="41"/>
  <c r="C79" i="28"/>
  <c r="C79" i="53"/>
  <c r="E85" i="43"/>
  <c r="O31" i="33"/>
  <c r="R32" i="33" s="1"/>
  <c r="S32" i="33" s="1"/>
  <c r="T32" i="33" l="1"/>
  <c r="Q32" i="33" s="1"/>
  <c r="P32" i="33"/>
  <c r="N32" i="33" l="1"/>
  <c r="I86" i="43"/>
  <c r="F80" i="53"/>
  <c r="I86" i="41"/>
  <c r="F80" i="28"/>
  <c r="I80" i="28"/>
  <c r="I80" i="53"/>
  <c r="M86" i="41"/>
  <c r="M86" i="43"/>
  <c r="E86" i="43" l="1"/>
  <c r="C80" i="28"/>
  <c r="E86" i="41"/>
  <c r="U32" i="33"/>
  <c r="O32" i="33"/>
  <c r="R33" i="33" s="1"/>
  <c r="S33" i="33" s="1"/>
  <c r="C80" i="53"/>
  <c r="T33" i="33" l="1"/>
  <c r="Q33" i="33" s="1"/>
  <c r="P33" i="33"/>
  <c r="F81" i="53" l="1"/>
  <c r="F81" i="28"/>
  <c r="I87" i="41"/>
  <c r="I87" i="43"/>
  <c r="N33" i="33"/>
  <c r="M87" i="41"/>
  <c r="I81" i="28"/>
  <c r="M87" i="43"/>
  <c r="I81" i="53"/>
  <c r="E87" i="43" l="1"/>
  <c r="E87" i="41"/>
  <c r="U33" i="33"/>
  <c r="O33" i="33"/>
  <c r="R34" i="33" s="1"/>
  <c r="S34" i="33" s="1"/>
  <c r="C81" i="53"/>
  <c r="C81" i="28"/>
  <c r="T34" i="33" l="1"/>
  <c r="Q34" i="33" s="1"/>
  <c r="P34" i="33"/>
  <c r="F82" i="53" l="1"/>
  <c r="N34" i="33"/>
  <c r="I88" i="43"/>
  <c r="I88" i="41"/>
  <c r="F82" i="28"/>
  <c r="M88" i="41"/>
  <c r="M88" i="43"/>
  <c r="I82" i="53"/>
  <c r="I82" i="28"/>
  <c r="E88" i="43" l="1"/>
  <c r="C82" i="28"/>
  <c r="U34" i="33"/>
  <c r="O34" i="33"/>
  <c r="R35" i="33" s="1"/>
  <c r="S35" i="33" s="1"/>
  <c r="E88" i="41"/>
  <c r="C82" i="53"/>
  <c r="P35" i="33" l="1"/>
  <c r="T35" i="33"/>
  <c r="Q35" i="33" s="1"/>
  <c r="M89" i="41" l="1"/>
  <c r="I83" i="28"/>
  <c r="I83" i="53"/>
  <c r="M89" i="43"/>
  <c r="F83" i="53"/>
  <c r="I89" i="43"/>
  <c r="N35" i="33"/>
  <c r="I89" i="41"/>
  <c r="F83" i="28"/>
  <c r="E89" i="43" l="1"/>
  <c r="O35" i="33"/>
  <c r="R36" i="33" s="1"/>
  <c r="S36" i="33" s="1"/>
  <c r="C83" i="53"/>
  <c r="U35" i="33"/>
  <c r="C83" i="28"/>
  <c r="E89" i="41"/>
  <c r="P36" i="33" l="1"/>
  <c r="T36" i="33"/>
  <c r="Q36" i="33" s="1"/>
  <c r="I84" i="28" l="1"/>
  <c r="I84" i="53"/>
  <c r="M90" i="41"/>
  <c r="M90" i="43"/>
  <c r="F84" i="28"/>
  <c r="I90" i="43"/>
  <c r="N36" i="33"/>
  <c r="I90" i="41"/>
  <c r="F84" i="53"/>
  <c r="E90" i="41" l="1"/>
  <c r="O36" i="33"/>
  <c r="R37" i="33" s="1"/>
  <c r="S37" i="33" s="1"/>
  <c r="U36" i="33"/>
  <c r="C84" i="53"/>
  <c r="C84" i="28"/>
  <c r="E90" i="43"/>
  <c r="T37" i="33" l="1"/>
  <c r="Q37" i="33" s="1"/>
  <c r="P37" i="33"/>
  <c r="F85" i="28" l="1"/>
  <c r="I91" i="43"/>
  <c r="N37" i="33"/>
  <c r="F85" i="53"/>
  <c r="I91" i="41"/>
  <c r="M91" i="41"/>
  <c r="M91" i="43"/>
  <c r="I85" i="53"/>
  <c r="I85" i="28"/>
  <c r="E91" i="43" l="1"/>
  <c r="O37" i="33"/>
  <c r="R38" i="33" s="1"/>
  <c r="S38" i="33" s="1"/>
  <c r="C85" i="28"/>
  <c r="U37" i="33"/>
  <c r="E91" i="41"/>
  <c r="C85" i="53"/>
  <c r="P38" i="33" l="1"/>
  <c r="T38" i="33"/>
  <c r="Q38" i="33" s="1"/>
  <c r="M92" i="43" l="1"/>
  <c r="I86" i="28"/>
  <c r="I86" i="53"/>
  <c r="M92" i="41"/>
  <c r="F86" i="28"/>
  <c r="F86" i="53"/>
  <c r="N38" i="33"/>
  <c r="I92" i="41"/>
  <c r="I92" i="43"/>
  <c r="E92" i="41" l="1"/>
  <c r="U38" i="33"/>
  <c r="O38" i="33"/>
  <c r="R39" i="33" s="1"/>
  <c r="S39" i="33" s="1"/>
  <c r="C86" i="28"/>
  <c r="C86" i="53"/>
  <c r="E92" i="43"/>
  <c r="T39" i="33" l="1"/>
  <c r="Q39" i="33" s="1"/>
  <c r="P39" i="33"/>
  <c r="I93" i="43" l="1"/>
  <c r="I93" i="41"/>
  <c r="F87" i="53"/>
  <c r="N39" i="33"/>
  <c r="F87" i="28"/>
  <c r="M93" i="41"/>
  <c r="I87" i="53"/>
  <c r="M93" i="43"/>
  <c r="I87" i="28"/>
  <c r="E93" i="43" l="1"/>
  <c r="U39" i="33"/>
  <c r="O39" i="33"/>
  <c r="R40" i="33" s="1"/>
  <c r="S40" i="33" s="1"/>
  <c r="E93" i="41"/>
  <c r="C87" i="53"/>
  <c r="C87" i="28"/>
  <c r="I89" i="53"/>
  <c r="I89" i="28"/>
  <c r="M95" i="43"/>
  <c r="M95" i="41"/>
  <c r="F89" i="53"/>
  <c r="F89" i="28"/>
  <c r="I95" i="41"/>
  <c r="I95" i="43"/>
  <c r="P40" i="33" l="1"/>
  <c r="T40" i="33"/>
  <c r="Q40" i="33" s="1"/>
  <c r="C89" i="53"/>
  <c r="C89" i="28"/>
  <c r="E95" i="43"/>
  <c r="E95" i="41"/>
  <c r="M94" i="41" l="1"/>
  <c r="I88" i="28"/>
  <c r="I11" i="28" s="1"/>
  <c r="D7" i="52" s="1"/>
  <c r="I88" i="53"/>
  <c r="I11" i="53" s="1"/>
  <c r="H7" i="52" s="1"/>
  <c r="M94" i="43"/>
  <c r="I94" i="41"/>
  <c r="F88" i="53"/>
  <c r="I94" i="43"/>
  <c r="F88" i="28"/>
  <c r="N40" i="33"/>
  <c r="I17" i="43" l="1"/>
  <c r="H21" i="52" s="1"/>
  <c r="M17" i="43"/>
  <c r="E94" i="43"/>
  <c r="C88" i="28"/>
  <c r="C88" i="53"/>
  <c r="U40" i="33"/>
  <c r="E94" i="41"/>
  <c r="O40" i="33"/>
  <c r="R41" i="33" s="1"/>
  <c r="S41" i="33" s="1"/>
  <c r="I17" i="41"/>
  <c r="D21" i="52" s="1"/>
  <c r="M17" i="41"/>
  <c r="H75" i="52" l="1"/>
  <c r="E17" i="43"/>
  <c r="H20" i="52" s="1"/>
  <c r="H78" i="52"/>
  <c r="D75" i="52"/>
  <c r="D78" i="52"/>
  <c r="E17" i="41"/>
  <c r="D20" i="52" s="1"/>
  <c r="N13" i="43"/>
  <c r="H18" i="52" s="1"/>
  <c r="H22" i="52"/>
  <c r="P41" i="33"/>
  <c r="T41" i="33"/>
  <c r="Q41" i="33" s="1"/>
  <c r="D22" i="52"/>
  <c r="N13" i="41"/>
  <c r="D18" i="52" s="1"/>
  <c r="N41" i="33" l="1"/>
  <c r="U41" i="33" l="1"/>
  <c r="O41" i="33"/>
  <c r="R42" i="33" s="1"/>
  <c r="S42" i="33" s="1"/>
  <c r="T42" i="33" l="1"/>
  <c r="Q42" i="33" s="1"/>
  <c r="P42" i="33"/>
  <c r="N42" i="33" l="1"/>
  <c r="U42" i="33" s="1"/>
  <c r="O42" i="33" l="1"/>
  <c r="R43" i="33" s="1"/>
  <c r="S43" i="33" s="1"/>
  <c r="T43" i="33" s="1"/>
  <c r="Q43" i="33" s="1"/>
  <c r="P43" i="33" l="1"/>
  <c r="N43" i="33" s="1"/>
  <c r="O43" i="33" s="1"/>
  <c r="R44" i="33" s="1"/>
  <c r="S44" i="33" s="1"/>
  <c r="U43" i="33" l="1"/>
  <c r="P44" i="33"/>
  <c r="T44" i="33"/>
  <c r="Q44" i="33" s="1"/>
  <c r="N44" i="33" l="1"/>
  <c r="O44" i="33" l="1"/>
  <c r="R45" i="33" s="1"/>
  <c r="S45" i="33" s="1"/>
  <c r="U44" i="33"/>
  <c r="T45" i="33" l="1"/>
  <c r="Q45" i="33" s="1"/>
  <c r="P45" i="33"/>
  <c r="N45" i="33" l="1"/>
  <c r="O45" i="33" l="1"/>
  <c r="R46" i="33" s="1"/>
  <c r="S46" i="33" s="1"/>
  <c r="U45" i="33"/>
  <c r="P46" i="33" l="1"/>
  <c r="T46" i="33"/>
  <c r="Q46" i="33" s="1"/>
  <c r="N46" i="33" l="1"/>
  <c r="L22" i="14"/>
  <c r="U46" i="33" l="1"/>
  <c r="O46" i="33"/>
  <c r="R47" i="33" s="1"/>
  <c r="S47" i="33" s="1"/>
  <c r="E17" i="28"/>
  <c r="Q22" i="14"/>
  <c r="E17" i="53"/>
  <c r="J23" i="41"/>
  <c r="F17" i="53"/>
  <c r="F17" i="28"/>
  <c r="J23" i="43"/>
  <c r="P47" i="33" l="1"/>
  <c r="T47" i="33"/>
  <c r="Q47" i="33" s="1"/>
  <c r="C17" i="53"/>
  <c r="B17" i="28"/>
  <c r="F23" i="43"/>
  <c r="B17" i="53"/>
  <c r="C17" i="28"/>
  <c r="F23" i="41"/>
  <c r="L25" i="14"/>
  <c r="L24" i="14"/>
  <c r="L26" i="14"/>
  <c r="L31" i="14"/>
  <c r="L33" i="14"/>
  <c r="L35" i="14"/>
  <c r="L30" i="14"/>
  <c r="L27" i="14"/>
  <c r="L29" i="14"/>
  <c r="L34" i="14"/>
  <c r="L28" i="14"/>
  <c r="L32" i="14"/>
  <c r="L38" i="14"/>
  <c r="Q38" i="14" s="1"/>
  <c r="L46" i="14"/>
  <c r="Q46" i="14" s="1"/>
  <c r="L37" i="14"/>
  <c r="Q37" i="14" s="1"/>
  <c r="L47" i="14"/>
  <c r="Q47" i="14" s="1"/>
  <c r="L53" i="14"/>
  <c r="Q53" i="14" s="1"/>
  <c r="L40" i="14"/>
  <c r="Q40" i="14" s="1"/>
  <c r="L50" i="14"/>
  <c r="Q50" i="14" s="1"/>
  <c r="L42" i="14"/>
  <c r="Q42" i="14" s="1"/>
  <c r="L41" i="14"/>
  <c r="Q41" i="14" s="1"/>
  <c r="L51" i="14"/>
  <c r="Q51" i="14" s="1"/>
  <c r="L36" i="14"/>
  <c r="Q36" i="14" s="1"/>
  <c r="L39" i="14"/>
  <c r="Q39" i="14" s="1"/>
  <c r="L55" i="14"/>
  <c r="L57" i="14"/>
  <c r="L59" i="14"/>
  <c r="L48" i="14"/>
  <c r="Q48" i="14" s="1"/>
  <c r="L54" i="14"/>
  <c r="Q54" i="14" s="1"/>
  <c r="L63" i="14"/>
  <c r="L58" i="14"/>
  <c r="L45" i="14"/>
  <c r="Q45" i="14" s="1"/>
  <c r="L49" i="14"/>
  <c r="Q49" i="14" s="1"/>
  <c r="L56" i="14"/>
  <c r="L43" i="14"/>
  <c r="Q43" i="14" s="1"/>
  <c r="L61" i="14"/>
  <c r="L65" i="14"/>
  <c r="L44" i="14"/>
  <c r="Q44" i="14" s="1"/>
  <c r="L64" i="14"/>
  <c r="L62" i="14"/>
  <c r="L67" i="14"/>
  <c r="Q67" i="14" s="1"/>
  <c r="L52" i="14"/>
  <c r="Q52" i="14" s="1"/>
  <c r="L66" i="14"/>
  <c r="Q66" i="14" s="1"/>
  <c r="L60" i="14"/>
  <c r="L23" i="14"/>
  <c r="N47" i="33" l="1"/>
  <c r="E51" i="28"/>
  <c r="Q56" i="14"/>
  <c r="F58" i="53"/>
  <c r="Q63" i="14"/>
  <c r="F52" i="53"/>
  <c r="Q57" i="14"/>
  <c r="E29" i="28"/>
  <c r="Q34" i="14"/>
  <c r="E30" i="28"/>
  <c r="Q35" i="14"/>
  <c r="E19" i="28"/>
  <c r="Q24" i="14"/>
  <c r="F18" i="53"/>
  <c r="Q23" i="14"/>
  <c r="C18" i="28" s="1"/>
  <c r="F60" i="28"/>
  <c r="Q65" i="14"/>
  <c r="J56" i="43"/>
  <c r="Q55" i="14"/>
  <c r="F24" i="28"/>
  <c r="Q29" i="14"/>
  <c r="F28" i="28"/>
  <c r="Q33" i="14"/>
  <c r="E20" i="28"/>
  <c r="Q25" i="14"/>
  <c r="E55" i="28"/>
  <c r="Q60" i="14"/>
  <c r="J63" i="43"/>
  <c r="Q62" i="14"/>
  <c r="J62" i="43"/>
  <c r="Q61" i="14"/>
  <c r="F27" i="28"/>
  <c r="Q32" i="14"/>
  <c r="E22" i="28"/>
  <c r="Q27" i="14"/>
  <c r="F26" i="28"/>
  <c r="Q31" i="14"/>
  <c r="F59" i="53"/>
  <c r="Q64" i="14"/>
  <c r="J59" i="41"/>
  <c r="Q58" i="14"/>
  <c r="J60" i="43"/>
  <c r="Q59" i="14"/>
  <c r="F23" i="28"/>
  <c r="Q28" i="14"/>
  <c r="F25" i="28"/>
  <c r="Q30" i="14"/>
  <c r="E21" i="28"/>
  <c r="Q26" i="14"/>
  <c r="F53" i="41"/>
  <c r="B47" i="53"/>
  <c r="B47" i="28"/>
  <c r="C47" i="53"/>
  <c r="C47" i="28"/>
  <c r="F53" i="43"/>
  <c r="C39" i="53"/>
  <c r="F45" i="41"/>
  <c r="B39" i="53"/>
  <c r="B39" i="28"/>
  <c r="F45" i="43"/>
  <c r="C39" i="28"/>
  <c r="B46" i="53"/>
  <c r="B46" i="28"/>
  <c r="C46" i="53"/>
  <c r="F52" i="41"/>
  <c r="C46" i="28"/>
  <c r="F52" i="43"/>
  <c r="B42" i="28"/>
  <c r="C42" i="53"/>
  <c r="F48" i="43"/>
  <c r="F48" i="41"/>
  <c r="B42" i="53"/>
  <c r="C42" i="28"/>
  <c r="J24" i="43"/>
  <c r="J61" i="43"/>
  <c r="E18" i="53"/>
  <c r="J61" i="41"/>
  <c r="E44" i="53"/>
  <c r="E44" i="28"/>
  <c r="F44" i="53"/>
  <c r="J50" i="43"/>
  <c r="J50" i="41"/>
  <c r="F44" i="28"/>
  <c r="F40" i="28"/>
  <c r="E40" i="53"/>
  <c r="E40" i="28"/>
  <c r="F40" i="53"/>
  <c r="J46" i="41"/>
  <c r="J46" i="43"/>
  <c r="F49" i="28"/>
  <c r="J55" i="41"/>
  <c r="F49" i="53"/>
  <c r="E49" i="53"/>
  <c r="E49" i="28"/>
  <c r="J55" i="43"/>
  <c r="J66" i="43"/>
  <c r="E59" i="53"/>
  <c r="J65" i="41"/>
  <c r="E35" i="53"/>
  <c r="F35" i="28"/>
  <c r="F35" i="53"/>
  <c r="J41" i="43"/>
  <c r="J41" i="41"/>
  <c r="E35" i="28"/>
  <c r="J64" i="43"/>
  <c r="E58" i="28"/>
  <c r="E57" i="53"/>
  <c r="J63" i="41"/>
  <c r="J38" i="41"/>
  <c r="E32" i="28"/>
  <c r="F32" i="28"/>
  <c r="J38" i="43"/>
  <c r="F32" i="53"/>
  <c r="E32" i="53"/>
  <c r="F56" i="28"/>
  <c r="F56" i="53"/>
  <c r="F55" i="53"/>
  <c r="E54" i="53"/>
  <c r="J59" i="43"/>
  <c r="J58" i="41"/>
  <c r="F52" i="28"/>
  <c r="F51" i="28"/>
  <c r="E51" i="53"/>
  <c r="F50" i="53"/>
  <c r="F18" i="28"/>
  <c r="E18" i="28"/>
  <c r="E60" i="28"/>
  <c r="E59" i="28"/>
  <c r="F59" i="28"/>
  <c r="F34" i="28"/>
  <c r="J40" i="43"/>
  <c r="E34" i="28"/>
  <c r="E34" i="53"/>
  <c r="F34" i="53"/>
  <c r="J40" i="41"/>
  <c r="J52" i="43"/>
  <c r="J52" i="41"/>
  <c r="E46" i="53"/>
  <c r="F46" i="28"/>
  <c r="E46" i="28"/>
  <c r="F46" i="53"/>
  <c r="J43" i="41"/>
  <c r="E37" i="28"/>
  <c r="E37" i="53"/>
  <c r="J43" i="43"/>
  <c r="F37" i="28"/>
  <c r="F37" i="53"/>
  <c r="J64" i="41"/>
  <c r="F57" i="28"/>
  <c r="F57" i="53"/>
  <c r="E56" i="28"/>
  <c r="E41" i="53"/>
  <c r="F41" i="53"/>
  <c r="F41" i="28"/>
  <c r="J47" i="41"/>
  <c r="J47" i="43"/>
  <c r="E41" i="28"/>
  <c r="E55" i="53"/>
  <c r="E54" i="28"/>
  <c r="F54" i="28"/>
  <c r="F53" i="28"/>
  <c r="E53" i="53"/>
  <c r="J58" i="43"/>
  <c r="F51" i="53"/>
  <c r="J57" i="41"/>
  <c r="J56" i="41"/>
  <c r="E50" i="28"/>
  <c r="F47" i="53"/>
  <c r="E47" i="53"/>
  <c r="E47" i="28"/>
  <c r="F47" i="28"/>
  <c r="J53" i="41"/>
  <c r="J53" i="43"/>
  <c r="J24" i="41"/>
  <c r="F39" i="53"/>
  <c r="E39" i="53"/>
  <c r="J45" i="41"/>
  <c r="E39" i="28"/>
  <c r="J45" i="43"/>
  <c r="F39" i="28"/>
  <c r="F43" i="28"/>
  <c r="F43" i="53"/>
  <c r="J49" i="43"/>
  <c r="E43" i="28"/>
  <c r="J49" i="41"/>
  <c r="E43" i="53"/>
  <c r="F60" i="53"/>
  <c r="E60" i="53"/>
  <c r="J65" i="43"/>
  <c r="J42" i="43"/>
  <c r="E36" i="28"/>
  <c r="F36" i="53"/>
  <c r="J42" i="41"/>
  <c r="E36" i="53"/>
  <c r="F36" i="28"/>
  <c r="E58" i="53"/>
  <c r="E57" i="28"/>
  <c r="F48" i="53"/>
  <c r="E48" i="28"/>
  <c r="E48" i="53"/>
  <c r="J54" i="43"/>
  <c r="F48" i="28"/>
  <c r="J54" i="41"/>
  <c r="J62" i="41"/>
  <c r="J39" i="43"/>
  <c r="F33" i="28"/>
  <c r="F33" i="53"/>
  <c r="J39" i="41"/>
  <c r="E33" i="28"/>
  <c r="E33" i="53"/>
  <c r="F55" i="28"/>
  <c r="F54" i="53"/>
  <c r="J60" i="41"/>
  <c r="F53" i="53"/>
  <c r="E53" i="28"/>
  <c r="E52" i="53"/>
  <c r="J57" i="43"/>
  <c r="E50" i="53"/>
  <c r="F50" i="28"/>
  <c r="J44" i="43"/>
  <c r="E38" i="28"/>
  <c r="J44" i="41"/>
  <c r="E38" i="53"/>
  <c r="F38" i="53"/>
  <c r="F38" i="28"/>
  <c r="J66" i="41"/>
  <c r="J37" i="41"/>
  <c r="F31" i="28"/>
  <c r="E31" i="53"/>
  <c r="J37" i="43"/>
  <c r="E31" i="28"/>
  <c r="F31" i="53"/>
  <c r="J51" i="43"/>
  <c r="F45" i="53"/>
  <c r="J51" i="41"/>
  <c r="E45" i="53"/>
  <c r="F45" i="28"/>
  <c r="E45" i="28"/>
  <c r="F58" i="28"/>
  <c r="J48" i="41"/>
  <c r="E42" i="53"/>
  <c r="F42" i="28"/>
  <c r="J48" i="43"/>
  <c r="F42" i="53"/>
  <c r="E42" i="28"/>
  <c r="E56" i="53"/>
  <c r="E52" i="28"/>
  <c r="F19" i="53"/>
  <c r="J33" i="41"/>
  <c r="E27" i="28"/>
  <c r="E24" i="53"/>
  <c r="J32" i="43"/>
  <c r="E26" i="28"/>
  <c r="F23" i="53"/>
  <c r="E25" i="53"/>
  <c r="E25" i="28"/>
  <c r="E28" i="53"/>
  <c r="F22" i="53"/>
  <c r="J28" i="41"/>
  <c r="E29" i="53"/>
  <c r="J36" i="41"/>
  <c r="F30" i="28"/>
  <c r="E20" i="53"/>
  <c r="J27" i="43"/>
  <c r="J27" i="41"/>
  <c r="J25" i="43"/>
  <c r="J33" i="43"/>
  <c r="E27" i="53"/>
  <c r="F24" i="53"/>
  <c r="E26" i="53"/>
  <c r="F26" i="53"/>
  <c r="J29" i="43"/>
  <c r="F25" i="53"/>
  <c r="J31" i="43"/>
  <c r="J34" i="43"/>
  <c r="E22" i="53"/>
  <c r="J28" i="43"/>
  <c r="F29" i="53"/>
  <c r="J36" i="43"/>
  <c r="E30" i="53"/>
  <c r="J26" i="43"/>
  <c r="F21" i="53"/>
  <c r="E21" i="53"/>
  <c r="F19" i="28"/>
  <c r="J25" i="41"/>
  <c r="F27" i="53"/>
  <c r="J30" i="41"/>
  <c r="E24" i="28"/>
  <c r="J32" i="41"/>
  <c r="J29" i="41"/>
  <c r="E23" i="28"/>
  <c r="J31" i="41"/>
  <c r="F28" i="53"/>
  <c r="E28" i="28"/>
  <c r="F22" i="28"/>
  <c r="F29" i="28"/>
  <c r="J35" i="41"/>
  <c r="F30" i="53"/>
  <c r="F20" i="28"/>
  <c r="J26" i="41"/>
  <c r="F21" i="28"/>
  <c r="E19" i="53"/>
  <c r="J30" i="43"/>
  <c r="E23" i="53"/>
  <c r="J34" i="41"/>
  <c r="J35" i="43"/>
  <c r="F20" i="53"/>
  <c r="F24" i="41" l="1"/>
  <c r="U47" i="33"/>
  <c r="O47" i="33"/>
  <c r="C18" i="53"/>
  <c r="B18" i="28"/>
  <c r="F24" i="43"/>
  <c r="B18" i="53"/>
  <c r="F11" i="53"/>
  <c r="H6" i="52" s="1"/>
  <c r="F30" i="43"/>
  <c r="C24" i="53"/>
  <c r="C24" i="28"/>
  <c r="F30" i="41"/>
  <c r="B24" i="53"/>
  <c r="B24" i="28"/>
  <c r="B28" i="28"/>
  <c r="B28" i="53"/>
  <c r="C28" i="28"/>
  <c r="F34" i="41"/>
  <c r="F34" i="43"/>
  <c r="C28" i="53"/>
  <c r="C22" i="28"/>
  <c r="C22" i="53"/>
  <c r="B22" i="28"/>
  <c r="B22" i="53"/>
  <c r="F28" i="41"/>
  <c r="F28" i="43"/>
  <c r="F36" i="43"/>
  <c r="B30" i="53"/>
  <c r="B30" i="28"/>
  <c r="F36" i="41"/>
  <c r="C30" i="53"/>
  <c r="C30" i="28"/>
  <c r="C21" i="28"/>
  <c r="F27" i="43"/>
  <c r="C21" i="53"/>
  <c r="B21" i="53"/>
  <c r="B21" i="28"/>
  <c r="F27" i="41"/>
  <c r="C27" i="53"/>
  <c r="F33" i="43"/>
  <c r="C27" i="28"/>
  <c r="F33" i="41"/>
  <c r="B27" i="53"/>
  <c r="B27" i="28"/>
  <c r="C26" i="53"/>
  <c r="F32" i="43"/>
  <c r="B26" i="53"/>
  <c r="C26" i="28"/>
  <c r="F32" i="41"/>
  <c r="B26" i="28"/>
  <c r="F29" i="43"/>
  <c r="B23" i="53"/>
  <c r="C23" i="28"/>
  <c r="C23" i="53"/>
  <c r="F29" i="41"/>
  <c r="B23" i="28"/>
  <c r="B45" i="53"/>
  <c r="C45" i="28"/>
  <c r="C45" i="53"/>
  <c r="B45" i="28"/>
  <c r="F51" i="43"/>
  <c r="F51" i="41"/>
  <c r="C38" i="53"/>
  <c r="F44" i="41"/>
  <c r="B38" i="28"/>
  <c r="C38" i="28"/>
  <c r="B38" i="53"/>
  <c r="F44" i="43"/>
  <c r="B48" i="53"/>
  <c r="B48" i="28"/>
  <c r="C48" i="53"/>
  <c r="F54" i="43"/>
  <c r="F54" i="41"/>
  <c r="C48" i="28"/>
  <c r="B49" i="53"/>
  <c r="C49" i="53"/>
  <c r="C49" i="28"/>
  <c r="B49" i="28"/>
  <c r="F55" i="43"/>
  <c r="F55" i="41"/>
  <c r="B57" i="28"/>
  <c r="B57" i="53"/>
  <c r="F63" i="41"/>
  <c r="C57" i="28"/>
  <c r="C57" i="53"/>
  <c r="F63" i="43"/>
  <c r="J17" i="41"/>
  <c r="F57" i="41"/>
  <c r="F57" i="43"/>
  <c r="C51" i="53"/>
  <c r="B51" i="53"/>
  <c r="C51" i="28"/>
  <c r="B51" i="28"/>
  <c r="C34" i="53"/>
  <c r="F40" i="43"/>
  <c r="B34" i="28"/>
  <c r="C34" i="28"/>
  <c r="F40" i="41"/>
  <c r="B34" i="53"/>
  <c r="B60" i="28"/>
  <c r="F66" i="43"/>
  <c r="C60" i="28"/>
  <c r="F66" i="41"/>
  <c r="C60" i="53"/>
  <c r="B60" i="53"/>
  <c r="F11" i="28"/>
  <c r="D6" i="52" s="1"/>
  <c r="B44" i="53"/>
  <c r="B44" i="28"/>
  <c r="F50" i="43"/>
  <c r="C44" i="28"/>
  <c r="F50" i="41"/>
  <c r="C44" i="53"/>
  <c r="F59" i="41"/>
  <c r="C53" i="53"/>
  <c r="B53" i="53"/>
  <c r="B53" i="28"/>
  <c r="C53" i="28"/>
  <c r="F59" i="43"/>
  <c r="B40" i="53"/>
  <c r="C40" i="53"/>
  <c r="C40" i="28"/>
  <c r="F46" i="41"/>
  <c r="F46" i="43"/>
  <c r="B40" i="28"/>
  <c r="J17" i="43"/>
  <c r="B41" i="53"/>
  <c r="C41" i="53"/>
  <c r="F47" i="41"/>
  <c r="B41" i="28"/>
  <c r="F47" i="43"/>
  <c r="C41" i="28"/>
  <c r="C55" i="28"/>
  <c r="F61" i="41"/>
  <c r="B55" i="28"/>
  <c r="F61" i="43"/>
  <c r="C55" i="53"/>
  <c r="B55" i="53"/>
  <c r="B29" i="53"/>
  <c r="F35" i="41"/>
  <c r="F35" i="43"/>
  <c r="C29" i="28"/>
  <c r="C29" i="53"/>
  <c r="B29" i="28"/>
  <c r="C19" i="28"/>
  <c r="B19" i="53"/>
  <c r="B19" i="28"/>
  <c r="F25" i="43"/>
  <c r="F25" i="41"/>
  <c r="C19" i="53"/>
  <c r="F56" i="41"/>
  <c r="B50" i="53"/>
  <c r="F56" i="43"/>
  <c r="B50" i="28"/>
  <c r="C50" i="53"/>
  <c r="C50" i="28"/>
  <c r="B37" i="53"/>
  <c r="F43" i="43"/>
  <c r="B37" i="28"/>
  <c r="C37" i="28"/>
  <c r="C37" i="53"/>
  <c r="F43" i="41"/>
  <c r="E11" i="28"/>
  <c r="D9" i="52" s="1"/>
  <c r="F38" i="41"/>
  <c r="B32" i="28"/>
  <c r="B32" i="53"/>
  <c r="C32" i="53"/>
  <c r="C32" i="28"/>
  <c r="F38" i="43"/>
  <c r="B35" i="53"/>
  <c r="C35" i="53"/>
  <c r="C35" i="28"/>
  <c r="B35" i="28"/>
  <c r="F41" i="41"/>
  <c r="F41" i="43"/>
  <c r="C52" i="28"/>
  <c r="B52" i="53"/>
  <c r="C52" i="53"/>
  <c r="F58" i="41"/>
  <c r="B52" i="28"/>
  <c r="F58" i="43"/>
  <c r="E11" i="53"/>
  <c r="H9" i="52" s="1"/>
  <c r="C25" i="28"/>
  <c r="B25" i="53"/>
  <c r="C25" i="53"/>
  <c r="B25" i="28"/>
  <c r="F31" i="43"/>
  <c r="F31" i="41"/>
  <c r="F26" i="41"/>
  <c r="B20" i="53"/>
  <c r="B20" i="28"/>
  <c r="C20" i="53"/>
  <c r="C20" i="28"/>
  <c r="F26" i="43"/>
  <c r="C43" i="53"/>
  <c r="F49" i="43"/>
  <c r="F49" i="41"/>
  <c r="C43" i="28"/>
  <c r="B43" i="53"/>
  <c r="B43" i="28"/>
  <c r="F37" i="43"/>
  <c r="B31" i="53"/>
  <c r="C31" i="28"/>
  <c r="B31" i="28"/>
  <c r="F37" i="41"/>
  <c r="C31" i="53"/>
  <c r="B58" i="28"/>
  <c r="C58" i="28"/>
  <c r="C58" i="53"/>
  <c r="F64" i="43"/>
  <c r="B58" i="53"/>
  <c r="F64" i="41"/>
  <c r="F39" i="41"/>
  <c r="B33" i="28"/>
  <c r="C33" i="28"/>
  <c r="B33" i="53"/>
  <c r="C33" i="53"/>
  <c r="F39" i="43"/>
  <c r="C36" i="53"/>
  <c r="B36" i="28"/>
  <c r="F42" i="43"/>
  <c r="F42" i="41"/>
  <c r="C36" i="28"/>
  <c r="B36" i="53"/>
  <c r="C56" i="53"/>
  <c r="F62" i="41"/>
  <c r="C56" i="28"/>
  <c r="F62" i="43"/>
  <c r="B56" i="53"/>
  <c r="B56" i="28"/>
  <c r="C54" i="53"/>
  <c r="B54" i="53"/>
  <c r="C54" i="28"/>
  <c r="F60" i="43"/>
  <c r="B54" i="28"/>
  <c r="F60" i="41"/>
  <c r="B59" i="28"/>
  <c r="F65" i="41"/>
  <c r="B59" i="53"/>
  <c r="C59" i="28"/>
  <c r="F65" i="43"/>
  <c r="C59" i="53"/>
  <c r="C11" i="53" l="1"/>
  <c r="H5" i="52" s="1"/>
  <c r="B11" i="28"/>
  <c r="D8" i="52" s="1"/>
  <c r="F17" i="43"/>
  <c r="H39" i="52" s="1"/>
  <c r="B11" i="53"/>
  <c r="H8" i="52" s="1"/>
  <c r="D65" i="52"/>
  <c r="H65" i="52"/>
  <c r="F17" i="41"/>
  <c r="D25" i="52"/>
  <c r="J13" i="41"/>
  <c r="D17" i="52" s="1"/>
  <c r="D40" i="52"/>
  <c r="J12" i="41"/>
  <c r="D32" i="52" s="1"/>
  <c r="C11" i="28"/>
  <c r="D5" i="52" s="1"/>
  <c r="H40" i="52"/>
  <c r="J12" i="43"/>
  <c r="H32" i="52" s="1"/>
  <c r="H25" i="52"/>
  <c r="J13" i="43"/>
  <c r="H17" i="52" s="1"/>
  <c r="H24" i="52" l="1"/>
  <c r="F12" i="43"/>
  <c r="H31" i="52" s="1"/>
  <c r="F13" i="43"/>
  <c r="H16" i="52" s="1"/>
  <c r="F13" i="41"/>
  <c r="D16" i="52" s="1"/>
  <c r="D39" i="52"/>
  <c r="F12" i="41"/>
  <c r="D31" i="52" s="1"/>
  <c r="D24" i="52"/>
</calcChain>
</file>

<file path=xl/sharedStrings.xml><?xml version="1.0" encoding="utf-8"?>
<sst xmlns="http://schemas.openxmlformats.org/spreadsheetml/2006/main" count="846" uniqueCount="462">
  <si>
    <t>Tranche 1</t>
  </si>
  <si>
    <t>Tranche 2</t>
  </si>
  <si>
    <t>Prix</t>
  </si>
  <si>
    <t>SMPT</t>
  </si>
  <si>
    <t>Revalo SPC</t>
  </si>
  <si>
    <t>Revalo RB</t>
  </si>
  <si>
    <t>IPC</t>
  </si>
  <si>
    <t>SMIC</t>
  </si>
  <si>
    <t>VS AA MA</t>
  </si>
  <si>
    <t>Plafond réversion</t>
  </si>
  <si>
    <t>Année</t>
  </si>
  <si>
    <t>CSG médiane</t>
  </si>
  <si>
    <t>Âge</t>
  </si>
  <si>
    <t>PSS</t>
  </si>
  <si>
    <t>Macro</t>
  </si>
  <si>
    <t>RG</t>
  </si>
  <si>
    <t>AA</t>
  </si>
  <si>
    <t>Plafond majo</t>
  </si>
  <si>
    <t>Retraité 1 part</t>
  </si>
  <si>
    <t>CSG zéro</t>
  </si>
  <si>
    <t>CSG réduit</t>
  </si>
  <si>
    <t>CSG normale</t>
  </si>
  <si>
    <t>au-dessus</t>
  </si>
  <si>
    <t>Taux zéro</t>
  </si>
  <si>
    <t>Taux réduit</t>
  </si>
  <si>
    <t>Taux médian</t>
  </si>
  <si>
    <t>Taux normal</t>
  </si>
  <si>
    <t>Retraité 2 parts</t>
  </si>
  <si>
    <t>Evol SMPT</t>
  </si>
  <si>
    <t>Âge au décès</t>
  </si>
  <si>
    <t>Génération</t>
  </si>
  <si>
    <t>Âge de départ</t>
  </si>
  <si>
    <t>TRI =</t>
  </si>
  <si>
    <t>Cotisations</t>
  </si>
  <si>
    <t>Cas type</t>
  </si>
  <si>
    <t>Âge de liquidation</t>
  </si>
  <si>
    <t>Indexation des droits</t>
  </si>
  <si>
    <t>Indexation des pensions</t>
  </si>
  <si>
    <t>Nombre d'années de salaires retenues</t>
  </si>
  <si>
    <t>25_meilleures</t>
  </si>
  <si>
    <t>Taux de liquidation (annuités)</t>
  </si>
  <si>
    <t>EV basse</t>
  </si>
  <si>
    <t>génération 2000</t>
  </si>
  <si>
    <t>Hommes EV moyenne</t>
  </si>
  <si>
    <t>Hommes EV cadre</t>
  </si>
  <si>
    <t>Femmes EV cadre</t>
  </si>
  <si>
    <t>Hommes EV ouvrier</t>
  </si>
  <si>
    <t>Femmes EV ouvrier</t>
  </si>
  <si>
    <t>EV à la liquidation</t>
  </si>
  <si>
    <t>EV</t>
  </si>
  <si>
    <t>Âge de début de carrière</t>
  </si>
  <si>
    <t>Sexe</t>
  </si>
  <si>
    <t>Nombre d'enfants</t>
  </si>
  <si>
    <t>Oui</t>
  </si>
  <si>
    <t>Durée de carrière pour TP</t>
  </si>
  <si>
    <t xml:space="preserve">Génération </t>
  </si>
  <si>
    <t>Salaire validant 1 trimestre</t>
  </si>
  <si>
    <t>VA AA 01/01 (VA ARRCO avant 2019)</t>
  </si>
  <si>
    <t>Seuil CSG revalorisé sur</t>
  </si>
  <si>
    <t>VS AA 01/10 (VS ARRCO avant 2019)</t>
  </si>
  <si>
    <t>NBMANQ</t>
  </si>
  <si>
    <t>MINTRIM</t>
  </si>
  <si>
    <t>AGE en trimestres manquants</t>
  </si>
  <si>
    <t>MINAGE</t>
  </si>
  <si>
    <t>SMIC AVPF</t>
  </si>
  <si>
    <t>Célibataire</t>
  </si>
  <si>
    <t>Cotisations servant au calcul des points</t>
  </si>
  <si>
    <t>Nombre de points acquis</t>
  </si>
  <si>
    <t>Index revalo</t>
  </si>
  <si>
    <t>Salaires revalorisés</t>
  </si>
  <si>
    <t>Rang pour calcul sur les 25 meilleures années</t>
  </si>
  <si>
    <t>Récap</t>
  </si>
  <si>
    <t>DAT pour TP</t>
  </si>
  <si>
    <t>Nombre de trimestres manquants</t>
  </si>
  <si>
    <t>Décote AA</t>
  </si>
  <si>
    <t>Nombre de trimestres manquants pour âge</t>
  </si>
  <si>
    <t>Décote CNAV</t>
  </si>
  <si>
    <t>Nb total de points</t>
  </si>
  <si>
    <t>SAM</t>
  </si>
  <si>
    <t xml:space="preserve">DAT </t>
  </si>
  <si>
    <t xml:space="preserve">Coef prorat </t>
  </si>
  <si>
    <t>Majo enfants</t>
  </si>
  <si>
    <t>femmes EV moyenne</t>
  </si>
  <si>
    <t>Homme_Moyen</t>
  </si>
  <si>
    <t>Femme_Moyen</t>
  </si>
  <si>
    <t>Homme_Cadre</t>
  </si>
  <si>
    <t>Femme_Cadre</t>
  </si>
  <si>
    <t>Homme_Ouvrier</t>
  </si>
  <si>
    <t>Femme_Ouvrier</t>
  </si>
  <si>
    <t>Projections démo INSEE fin 2016</t>
  </si>
  <si>
    <t>CNAV</t>
  </si>
  <si>
    <t>Assiette</t>
  </si>
  <si>
    <t>Taux T1</t>
  </si>
  <si>
    <t>Taux d'exo</t>
  </si>
  <si>
    <t>Retraite du/de la célibataire</t>
  </si>
  <si>
    <t>Cotisations totales</t>
  </si>
  <si>
    <t>Total</t>
  </si>
  <si>
    <t>brut</t>
  </si>
  <si>
    <t>Nb personnes</t>
  </si>
  <si>
    <t>Salaires</t>
  </si>
  <si>
    <t>Revenus et droits du/de la célibataire</t>
  </si>
  <si>
    <t>Exonération de cotisations</t>
  </si>
  <si>
    <t>Choisir de 60 ans à 67 ans</t>
  </si>
  <si>
    <t>Choisir : 0, 1, 2 ou 3</t>
  </si>
  <si>
    <t>Prélèvements sociaux (CSG + CRDS + CASA)</t>
  </si>
  <si>
    <t>Pensions brutes</t>
  </si>
  <si>
    <t>Pensions nettes</t>
  </si>
  <si>
    <t>TRI net</t>
  </si>
  <si>
    <t>TRI brut</t>
  </si>
  <si>
    <t>Exonération coefficients temporaires</t>
  </si>
  <si>
    <t>les retraités exonérés de CSG,</t>
  </si>
  <si>
    <t>les retraités handicapés atteints d’une incapacité permanente d’au moins 50 %, remplissant ou non les conditions d’un départ anticipé dans le cadre du dispositif de l’article L351-1-3</t>
  </si>
  <si>
    <t>les retraités au titre du dispositif amiante ou de l’inaptitude,</t>
  </si>
  <si>
    <t>les retraités ayant élevé un enfant handicapé,</t>
  </si>
  <si>
    <t>les mères ouvrières ayant élevé au moins 3 enfants,</t>
  </si>
  <si>
    <t>les aidants familiaux,</t>
  </si>
  <si>
    <t>les retraités qui bénéficiaient de l’allocation de solidarité spécifique à la veille de leur retraite,</t>
  </si>
  <si>
    <t>les retraités qui se sont vu reconnaître une incapacité permanente partielle de 20 % ou plus à la suite d’un accident du travail ou d’une maladie professielle,</t>
  </si>
  <si>
    <t>Les retraités ayant bénéficié de l’allocation adulte handicapé,</t>
  </si>
  <si>
    <t>Les retraités qui bénéficiaient d’une pension d’invalidité 2^e^ ou 3^e^ catégorie,</t>
  </si>
  <si>
    <t>les retraités ne percevant qu’un versement forfaitaire unique.</t>
  </si>
  <si>
    <t>La minoration temporaire ne s’applique pas aux retraites des personnes qui ne remplissent pas les conditions pour bénéficier de la retraite à taux plein puisque leur retraite complémentaire subit une minoration (abattement) définitive.</t>
  </si>
  <si>
    <t>La minoration est réduite à 5 % pour les retraités qui s’acquittent de la CSG au taux 3,8 %.</t>
  </si>
  <si>
    <t>Si vous êtes né(e) à partir de 1957 et que vous prenez votre retraite après le 1er janvier 2019 pendant l’année suivant la date d’obtention de votre taux plein dans le régime de base.</t>
  </si>
  <si>
    <t>Le coefficient de solidarité, c’est-à-dire une minoration temporaire de 10% (pendant 3 ans) s’applique au montant de la retraite complémentaire et au maximum jusqu’à l’âge de 67 ans.</t>
  </si>
  <si>
    <t xml:space="preserve">Majoration </t>
  </si>
  <si>
    <t>Coefficient AGIRC-ARRCO</t>
  </si>
  <si>
    <t>Taux prestation (prix) net</t>
  </si>
  <si>
    <t>Taux prestation (prix) brut</t>
  </si>
  <si>
    <t>Taux récupération (prix) net</t>
  </si>
  <si>
    <t>Taux récupération (prix) brut</t>
  </si>
  <si>
    <t>Actualisation prix</t>
  </si>
  <si>
    <t>Actualisation SMPT</t>
  </si>
  <si>
    <t xml:space="preserve">Flux et calculs du TRI </t>
  </si>
  <si>
    <t>(actualisation prix)</t>
  </si>
  <si>
    <t>CNAV+AA</t>
  </si>
  <si>
    <t>Âge de décès</t>
  </si>
  <si>
    <t>dont CNAV net</t>
  </si>
  <si>
    <t>dont AA net</t>
  </si>
  <si>
    <t>SALAIRES</t>
  </si>
  <si>
    <t>ANNEE</t>
  </si>
  <si>
    <t>Tx prestation brut</t>
  </si>
  <si>
    <t>Tx prestation net</t>
  </si>
  <si>
    <t>Tx prélèvement</t>
  </si>
  <si>
    <t>Taux de récupération brut =</t>
  </si>
  <si>
    <t>Taux de récupération net =</t>
  </si>
  <si>
    <t>I_SMPT</t>
  </si>
  <si>
    <t>(actualisation SMPT)</t>
  </si>
  <si>
    <t>Taux de récupération et ITAX</t>
  </si>
  <si>
    <t>TAUX DE RECUPERATION, TAUX DE PRESTATION ET TAUX DE PRELEVEMENT</t>
  </si>
  <si>
    <t>Pension brute AA</t>
  </si>
  <si>
    <t>Pension brute RG</t>
  </si>
  <si>
    <t>Surcote CNAV</t>
  </si>
  <si>
    <t>Nombre de trimestres supplémentaires</t>
  </si>
  <si>
    <t>Nombre de trimestres supplémentaires pour âge</t>
  </si>
  <si>
    <t>Durée d'assurance hors MDA et AVPF</t>
  </si>
  <si>
    <t>Durée d'assurance hors AVPF</t>
  </si>
  <si>
    <t>Durée d'assurance AVPF</t>
  </si>
  <si>
    <t>brut hors coefficient</t>
  </si>
  <si>
    <t>brut avec coefficient</t>
  </si>
  <si>
    <t>TOTAL brut</t>
  </si>
  <si>
    <t>TOTAL net</t>
  </si>
  <si>
    <t>dont CNAV brut</t>
  </si>
  <si>
    <t>dont AA brut</t>
  </si>
  <si>
    <t>dont CNAV</t>
  </si>
  <si>
    <t>dont AA</t>
  </si>
  <si>
    <t>Taux récupération (SMPT) net</t>
  </si>
  <si>
    <t>Taux prestation (SMPT) net</t>
  </si>
  <si>
    <t>Taux de rendement interne (flux réels) net/brut</t>
  </si>
  <si>
    <t>Taux de récupération brut</t>
  </si>
  <si>
    <t>Taux récupération (SMPT) brut</t>
  </si>
  <si>
    <t>Taux prestation (SMPT) brut</t>
  </si>
  <si>
    <t>Salaire par âge relativement au SMPT</t>
  </si>
  <si>
    <t>Ménage à la retraite</t>
  </si>
  <si>
    <t>dont employeur</t>
  </si>
  <si>
    <t xml:space="preserve">Taux prélèvement (prix) </t>
  </si>
  <si>
    <t xml:space="preserve">Taux prélèvement (SMPT) </t>
  </si>
  <si>
    <t>taux de prélèvement TOTAL</t>
  </si>
  <si>
    <t>taux de prélèvement CNAV</t>
  </si>
  <si>
    <t>taux de prélèvement AA</t>
  </si>
  <si>
    <t>Revenus N-1</t>
  </si>
  <si>
    <t>Pension RG avant mico</t>
  </si>
  <si>
    <t>Mico</t>
  </si>
  <si>
    <t>Mico majoré</t>
  </si>
  <si>
    <t>Plafond mico</t>
  </si>
  <si>
    <t>Non</t>
  </si>
  <si>
    <t>Neutre EV moyenne</t>
  </si>
  <si>
    <t>Neutre EV cadre</t>
  </si>
  <si>
    <t>Neutre EV ouvrier</t>
  </si>
  <si>
    <t>Neutre_Moyen</t>
  </si>
  <si>
    <t>Neutre_Cadre</t>
  </si>
  <si>
    <t>Neutre_Ouvrier</t>
  </si>
  <si>
    <t>Dernier salaire brut</t>
  </si>
  <si>
    <t>Dernier salaire net</t>
  </si>
  <si>
    <t>Salaire moyen de carrière brut</t>
  </si>
  <si>
    <t>Salaire moyen de carrière net</t>
  </si>
  <si>
    <t>Somme des salaires bruts</t>
  </si>
  <si>
    <t>Somme des salaires nets</t>
  </si>
  <si>
    <t>Première retraite brute</t>
  </si>
  <si>
    <t>Première retraite nette</t>
  </si>
  <si>
    <t>Retraite moyenne brute sur la durée de retraite</t>
  </si>
  <si>
    <t>Retraite moyenne nette sur la durée de retraite</t>
  </si>
  <si>
    <t>Somme des retraites brutes</t>
  </si>
  <si>
    <t>Somme des retraites nettes</t>
  </si>
  <si>
    <t>Salaire brut</t>
  </si>
  <si>
    <t>Salaires en euros courants</t>
  </si>
  <si>
    <t>Salaire net</t>
  </si>
  <si>
    <t>Taux global CSG</t>
  </si>
  <si>
    <t>Taux CSG deductible</t>
  </si>
  <si>
    <t>CRDS</t>
  </si>
  <si>
    <t>MMID</t>
  </si>
  <si>
    <t>Chômage tranche 2</t>
  </si>
  <si>
    <t>Chômage tranche 1</t>
  </si>
  <si>
    <t>APEC tranche 2</t>
  </si>
  <si>
    <t>Salaire net imposable</t>
  </si>
  <si>
    <t>Taux de cotisation salariés</t>
  </si>
  <si>
    <t>Tranche 1 si sal&lt;=PSS</t>
  </si>
  <si>
    <t>Tranche 1 si sal&gt;PSS</t>
  </si>
  <si>
    <t>Assiette T1</t>
  </si>
  <si>
    <t>Assiette non plafonnée</t>
  </si>
  <si>
    <t>Assiette plafonnée</t>
  </si>
  <si>
    <t>dont AA employeur T1</t>
  </si>
  <si>
    <t>dont AA employeur T2</t>
  </si>
  <si>
    <t>dont CET employeur</t>
  </si>
  <si>
    <t>dont CEG T1 employeur</t>
  </si>
  <si>
    <t>dont CEG T2 employeur</t>
  </si>
  <si>
    <t>Tranche 2 non plafonnée</t>
  </si>
  <si>
    <t>Tranche 2 plafonnée 8P</t>
  </si>
  <si>
    <t>Assiette déplafonnée</t>
  </si>
  <si>
    <t>Salaires actualisés sur les prix</t>
  </si>
  <si>
    <t>Salaires actualisés sur le SMPT</t>
  </si>
  <si>
    <t>Somme des cotisations retraite</t>
  </si>
  <si>
    <t>Scénario économique de référence</t>
  </si>
  <si>
    <t>Taux de cotisation salariés autres que retraite</t>
  </si>
  <si>
    <t>Total imposable</t>
  </si>
  <si>
    <t>Taux CSG imposable sur CSG taux normal et CSG médian</t>
  </si>
  <si>
    <t>Assiette T2 plafonnée 8P</t>
  </si>
  <si>
    <t>Données permettant de calculer les indicateurs</t>
  </si>
  <si>
    <t>Minimum contributif revalorisé sur</t>
  </si>
  <si>
    <t>AOD</t>
  </si>
  <si>
    <t>AAD</t>
  </si>
  <si>
    <t>Choisir : 62 ou 64 ans</t>
  </si>
  <si>
    <t>Choisir : 67 ou 69 ans</t>
  </si>
  <si>
    <t>Choisir : Oui, Non</t>
  </si>
  <si>
    <t>Attribution de MDA</t>
  </si>
  <si>
    <t>Choisir : de 17 à 24 ans</t>
  </si>
  <si>
    <t>AVPF</t>
  </si>
  <si>
    <t>Caractéristiques de l'individu</t>
  </si>
  <si>
    <t>Scénario économique retenu</t>
  </si>
  <si>
    <t>Choisir le scénario de croissance de la productivité du travail (le taux de chômage n'a par construction pas d'effet s'agissant de cas types)</t>
  </si>
  <si>
    <t>Législation simulée</t>
  </si>
  <si>
    <t>Revenus du/de la célibataire</t>
  </si>
  <si>
    <t>Cadre (cas 1)</t>
  </si>
  <si>
    <t>Salaire porté au compte CNAV</t>
  </si>
  <si>
    <t>dont salarié</t>
  </si>
  <si>
    <t>dont AA salarié T1</t>
  </si>
  <si>
    <t>dont AA salarié T2</t>
  </si>
  <si>
    <t>dont CET salarié</t>
  </si>
  <si>
    <t>dont CEG T1 salarié</t>
  </si>
  <si>
    <t>dont CEG T2 salarié</t>
  </si>
  <si>
    <t>Attribution de points chômage Agirc-Arrco</t>
  </si>
  <si>
    <t>Cotisation déplafonnée</t>
  </si>
  <si>
    <t>CET et CEG</t>
  </si>
  <si>
    <t>Calcul des droits</t>
  </si>
  <si>
    <t>25 meilleures années ou totalité de la carrière</t>
  </si>
  <si>
    <t>Choisir : Prix ou SMPT</t>
  </si>
  <si>
    <t>Âge interruptions d'activité</t>
  </si>
  <si>
    <t>Salaire servant au calcul des cotisations et des trimestres</t>
  </si>
  <si>
    <t>Mico éventuel (condition de ressources)</t>
  </si>
  <si>
    <t>Non-cadre (cas 2)</t>
  </si>
  <si>
    <t>Non-cadre masculin (cas 2M)</t>
  </si>
  <si>
    <t>Non-cadre féminin (cas 2F)</t>
  </si>
  <si>
    <t>Non-cadre "plat" (cas 2P)</t>
  </si>
  <si>
    <t>AA chômage</t>
  </si>
  <si>
    <t>Coef solidarité</t>
  </si>
  <si>
    <t>EV genrée</t>
  </si>
  <si>
    <t>Genre</t>
  </si>
  <si>
    <t>EV CSP</t>
  </si>
  <si>
    <t>Taux "fictif" de prélèvement sur retraite pour calcul coefficient de solidarité</t>
  </si>
  <si>
    <t xml:space="preserve">Taux </t>
  </si>
  <si>
    <t>Liq -1</t>
  </si>
  <si>
    <t>Liq -2</t>
  </si>
  <si>
    <t>Bénéfice 5%</t>
  </si>
  <si>
    <t>Interruption de carrière ?</t>
  </si>
  <si>
    <t>Durée d'assurance chômage</t>
  </si>
  <si>
    <t>Attribution de trimestres pour chômage</t>
  </si>
  <si>
    <t>Octobre 2021</t>
  </si>
  <si>
    <t>Choisir : Homme, Femme ou Neutre (moyenne des EV F/H)</t>
  </si>
  <si>
    <t>Choisir : Moyen (EV de l'ensemble de la population), Cadre ou Ouvrier</t>
  </si>
  <si>
    <t>Calcul de la décote</t>
  </si>
  <si>
    <t>Âge+Durée</t>
  </si>
  <si>
    <t>Choisir : Âge+Durée (calcul actuel tenant compte de la durée d'assurance), Âge (calcul selon la distance à l'AAD)</t>
  </si>
  <si>
    <t>Choisir : 25%, 50% ou 75%</t>
  </si>
  <si>
    <t xml:space="preserve">Revalorisation annuelle </t>
  </si>
  <si>
    <t>Source : legislation.cnav</t>
  </si>
  <si>
    <t>Salaires portés au compte</t>
  </si>
  <si>
    <t>Date de revalorisation</t>
  </si>
  <si>
    <t>Pensions liquidées
Tous scénarios et variantes</t>
  </si>
  <si>
    <t>Coefficient au 01/01/2020</t>
  </si>
  <si>
    <t>Revalorisation annuelle*</t>
  </si>
  <si>
    <t>Tous scénarios et variantes</t>
  </si>
  <si>
    <t>Pension totale &lt;= 2000 euros</t>
  </si>
  <si>
    <t>Pension totale &gt; 2000 euros</t>
  </si>
  <si>
    <t>* Depuis la LFSS2016, évolution sur les prix constatés en moyenne annuelle au 1er octobre</t>
  </si>
  <si>
    <t>Minimum contributif tous régimes, revalorisation du minimum garanti dans la fonction publique et PMR</t>
  </si>
  <si>
    <t>Source : legislation.cnav et MSA</t>
  </si>
  <si>
    <t>Plafond annuel des retraites pour l'attribution du minimum contributif</t>
  </si>
  <si>
    <t>Minimum contributif</t>
  </si>
  <si>
    <t>Minimum contributif majoré</t>
  </si>
  <si>
    <t>Minimum garanti dans la FP
(montant maximum)</t>
  </si>
  <si>
    <t>PMR 1</t>
  </si>
  <si>
    <t>PMR 2</t>
  </si>
  <si>
    <t>Évolution des minima*</t>
  </si>
  <si>
    <t>Montant</t>
  </si>
  <si>
    <t>Évolution en nominal</t>
  </si>
  <si>
    <t>Montant annuel</t>
  </si>
  <si>
    <t>Sc_1,8%</t>
  </si>
  <si>
    <t>Sc_1,5%</t>
  </si>
  <si>
    <t>Sc_1,3%</t>
  </si>
  <si>
    <t>Sc_1,0%</t>
  </si>
  <si>
    <t xml:space="preserve">Scénarios 1,8% - 1,5% - 1,3% - 1,0% </t>
  </si>
  <si>
    <t>Évolution</t>
  </si>
  <si>
    <t>Salaire validant 1 trimestre (en moyenne annuelle)</t>
  </si>
  <si>
    <t>Salaire nominal</t>
  </si>
  <si>
    <t>Salaire réel (2016)</t>
  </si>
  <si>
    <t>Évolution en réel</t>
  </si>
  <si>
    <t>Smic AVPF (en moyenne annuelle)</t>
  </si>
  <si>
    <t>Salaire AVPF nominal</t>
  </si>
  <si>
    <t>Salaire AVPF réel (2016)</t>
  </si>
  <si>
    <t>Valeurs du point AGIRC-ARRCO</t>
  </si>
  <si>
    <t>Source : Agirc-Arrco</t>
  </si>
  <si>
    <t>Valeur d'achat (valeur annuelle)</t>
  </si>
  <si>
    <t>Valeur de service (1er novembre)</t>
  </si>
  <si>
    <t>Coef</t>
  </si>
  <si>
    <t>échanges avec G. Pestre le 13/05/2019 :</t>
  </si>
  <si>
    <t>- De 2019 à 2022 : VA indexée sur les salaires</t>
  </si>
  <si>
    <t>- De 2019 à 2022 : VP indexée sur les prix</t>
  </si>
  <si>
    <t>- De 2023 à 2033 : VA indexée sur les salaires</t>
  </si>
  <si>
    <t>- De 2023 à 2033 : VP indexée sur les salaires - 1,16%</t>
  </si>
  <si>
    <t>- De 2034 à 2070 : VA indexée sur les salaires - 1,16%</t>
  </si>
  <si>
    <t>- De 2034 à 2070 : VP indexée sur les salaires - 1,16%</t>
  </si>
  <si>
    <t>échanges avec JB Oliveau du 28/04/2021</t>
  </si>
  <si>
    <t>- La VA pour 2022 évolue comme le cumul du SMPT 2020 et 2021</t>
  </si>
  <si>
    <t>- La VP évolue comme le SMPT N</t>
  </si>
  <si>
    <t xml:space="preserve">- La VA pour 2023 (et années suivantes) évolue comme le SMPT (N-1)
</t>
  </si>
  <si>
    <t xml:space="preserve">SMPT = (Revenu mixte brut (B3g) + Salaires et traitements bruts (D11)) / Emploi total) </t>
  </si>
  <si>
    <t>Source : Comptes nationaux - Base 2010, Insee (1949 à 2015)</t>
  </si>
  <si>
    <t>SMPT en euros courants</t>
  </si>
  <si>
    <t>Sc_1,3 %</t>
  </si>
  <si>
    <t>SMIC annuel (en moyenne annuelle)</t>
  </si>
  <si>
    <t>Sources : legislation.cnav (smic horaire) et Dares (nombre d'heures mensuelle du travail)</t>
  </si>
  <si>
    <t>Smig / Smic nominal</t>
  </si>
  <si>
    <t>Smig / Smic réel (2016)</t>
  </si>
  <si>
    <t>Plafond de la Sécurité sociale (en moyenne annuelle)</t>
  </si>
  <si>
    <t>Plafond de la Sécurité sociale nominal</t>
  </si>
  <si>
    <t>Plafond de la Sécurité sociale réel (2016)</t>
  </si>
  <si>
    <t>Indice des prix à la consommation (y compris tabac)</t>
  </si>
  <si>
    <t>Source : série Insee 10605954 (Base 2015 - Ensemble des ménages - France - Ensemble)</t>
  </si>
  <si>
    <t>Indice des prix</t>
  </si>
  <si>
    <t>Congé parental</t>
  </si>
  <si>
    <t>MDA, AVPF et congé parental si femme</t>
  </si>
  <si>
    <t>Raisons de l'interruption</t>
  </si>
  <si>
    <t>Choisir : Oui, Non si interruption pour chômage</t>
  </si>
  <si>
    <t>Choisir : Oui, Non si enfants</t>
  </si>
  <si>
    <t>MDA pour congé parental</t>
  </si>
  <si>
    <t>Taux AA T1
ARRCO avant 2019</t>
  </si>
  <si>
    <t>Taux AA T2
AGIRC avant 2019</t>
  </si>
  <si>
    <t>Taux d'appel AGIRC-ARRCO</t>
  </si>
  <si>
    <t>Taux d'appel AGIRC (avant 2019)</t>
  </si>
  <si>
    <t>Taux d'appel ARRCO (avant 2019)</t>
  </si>
  <si>
    <t>CET (si salaire &gt; PSS)
(AGIRC avant 2019)
Après choix de la simulation</t>
  </si>
  <si>
    <t>dont salarié
Après choix de la simulation</t>
  </si>
  <si>
    <t>dont CET employeur
Après choix de la simulation</t>
  </si>
  <si>
    <t>dont CET salarié
Après choix de la simulation</t>
  </si>
  <si>
    <t>dont employeur
Après choix de la simulation</t>
  </si>
  <si>
    <r>
      <rPr>
        <b/>
        <sz val="11"/>
        <rFont val="Calibri"/>
        <family val="2"/>
        <scheme val="minor"/>
      </rPr>
      <t>Taux T2</t>
    </r>
    <r>
      <rPr>
        <b/>
        <sz val="11"/>
        <color rgb="FFFF0000"/>
        <rFont val="Calibri"/>
        <family val="2"/>
        <scheme val="minor"/>
      </rPr>
      <t xml:space="preserve">
Après choix de la simulation</t>
    </r>
  </si>
  <si>
    <t>dont CEG T1 salarié
Après choix de la simulation</t>
  </si>
  <si>
    <t>CEG T1 (AGFF avant 2019)
Après choix de la simulation</t>
  </si>
  <si>
    <t>dont CEG T1 employeur
Après choix de la simulation</t>
  </si>
  <si>
    <t>CEG T2 (AGFF avant 2019)
Après choix de la simulation</t>
  </si>
  <si>
    <t>dont CEG T2 employeur
Après choix de la simulation</t>
  </si>
  <si>
    <t>dont CEG T2 salarié
Après choix de la simulation</t>
  </si>
  <si>
    <t>VA AGIRC 01/01 (Avant 2019)</t>
  </si>
  <si>
    <t>VA ARRCO 01/01 (Avant 2019)</t>
  </si>
  <si>
    <t>VS AGIRC 01/01 (Avant 2019)</t>
  </si>
  <si>
    <t>VS ARRCO 01/01 (Avant 2019)</t>
  </si>
  <si>
    <t>VS AGIRC MA (Avant 2019)</t>
  </si>
  <si>
    <t>VS ARRCO MA (Avant 2019)</t>
  </si>
  <si>
    <t>Assiette CSG / CRDS</t>
  </si>
  <si>
    <t>Neutre</t>
  </si>
  <si>
    <t>Choisir : 1 = cadre; 2 = non-cadre homme ou femme; 2M = non-cadre homme; 2F = non-cadre femme; SMIC; 2P = non-cadre avec une carrière plate (0,8 SMPT)</t>
  </si>
  <si>
    <t>Âge début interruption</t>
  </si>
  <si>
    <t>Âge fin interruption</t>
  </si>
  <si>
    <t>Choisir : Chômage, Enfants ou Inactivité</t>
  </si>
  <si>
    <t>Choisir : âge de début d'interruption si Oui</t>
  </si>
  <si>
    <t>Choisir : âge de fin d'interruption si Oui</t>
  </si>
  <si>
    <t>Que fait ce simulateur ?</t>
  </si>
  <si>
    <t>Comment fonctionne-t-il ?</t>
  </si>
  <si>
    <t>De quoi a-t’il besoin ?</t>
  </si>
  <si>
    <t>Taux de récupération net</t>
  </si>
  <si>
    <t>Taux de remplacement net/brut</t>
  </si>
  <si>
    <t>Taux de rendement interne net/brut</t>
  </si>
  <si>
    <t>TR net</t>
  </si>
  <si>
    <t>TR brut</t>
  </si>
  <si>
    <t>Écrivez-nous à :</t>
  </si>
  <si>
    <t>Les seuls cas types possibles sont ceux de salariés du secteur privé, affiliés à la CNAV et à l'AGIRC-ARRCO.</t>
  </si>
  <si>
    <t xml:space="preserve">l'équilibre financier du régime. </t>
  </si>
  <si>
    <t>mais cela est nettement plus discutable à la fonction publique où les rémunérations sont régies par des grilles.</t>
  </si>
  <si>
    <r>
      <t xml:space="preserve">L'utilisateur doit choisir différents paramètres dans l'onglet </t>
    </r>
    <r>
      <rPr>
        <b/>
        <sz val="11"/>
        <color theme="1"/>
        <rFont val="Calibri"/>
        <family val="2"/>
        <scheme val="minor"/>
      </rPr>
      <t>Simulation.</t>
    </r>
  </si>
  <si>
    <t>Minimum contributif revalorisé sur prix / salaires</t>
  </si>
  <si>
    <t>Indexation des droits sur prix / salaires</t>
  </si>
  <si>
    <t>Indexation des pensions sur prix / salaires</t>
  </si>
  <si>
    <t>Calcul de la décote : par rapport à l'âge ou l'âge et la durée</t>
  </si>
  <si>
    <t>Seuil CSG revalorisé sur prix / salaires</t>
  </si>
  <si>
    <t>CET et CEG : oui ou non</t>
  </si>
  <si>
    <t>Cotisation déplafonnée : oui ou non</t>
  </si>
  <si>
    <t>Exonération de cotisations : oui ou non</t>
  </si>
  <si>
    <t>Nombre d'années de salaires retenues : 25 ou la totalité</t>
  </si>
  <si>
    <t>Productivité 1,3 % par an</t>
  </si>
  <si>
    <t>Productivité 1,5 % par an</t>
  </si>
  <si>
    <t>Productivité 1,8 % par an</t>
  </si>
  <si>
    <t>Productivité 1,0 % par an</t>
  </si>
  <si>
    <t>Les calculs ne peuvent être réalisés que pour des assurés de la génération 2000.</t>
  </si>
  <si>
    <r>
      <t xml:space="preserve">- onglet </t>
    </r>
    <r>
      <rPr>
        <b/>
        <i/>
        <sz val="11"/>
        <color theme="1"/>
        <rFont val="Calibri"/>
        <family val="2"/>
        <scheme val="minor"/>
      </rPr>
      <t>Cot_droits</t>
    </r>
    <r>
      <rPr>
        <sz val="11"/>
        <color theme="1"/>
        <rFont val="Calibri"/>
        <family val="2"/>
        <scheme val="minor"/>
      </rPr>
      <t xml:space="preserve"> : calcule les cotisations versées, celles génératrices de droit dans le régime complémentaire,</t>
    </r>
  </si>
  <si>
    <t>les salaires portés au compte au régime général et enfin, les pensions CNAV et AGIRC-ARRCO à la liquidation.</t>
  </si>
  <si>
    <r>
      <t xml:space="preserve">- onglet </t>
    </r>
    <r>
      <rPr>
        <b/>
        <i/>
        <sz val="11"/>
        <color theme="1"/>
        <rFont val="Calibri"/>
        <family val="2"/>
        <scheme val="minor"/>
      </rPr>
      <t xml:space="preserve">Retraite </t>
    </r>
    <r>
      <rPr>
        <sz val="11"/>
        <color theme="1"/>
        <rFont val="Calibri"/>
        <family val="2"/>
        <scheme val="minor"/>
      </rPr>
      <t>: récapitule les pensions versées brutes durant la retraite, et les pensions nettes.</t>
    </r>
  </si>
  <si>
    <r>
      <t xml:space="preserve">- onglet </t>
    </r>
    <r>
      <rPr>
        <b/>
        <i/>
        <sz val="11"/>
        <color theme="1"/>
        <rFont val="Calibri"/>
        <family val="2"/>
        <scheme val="minor"/>
      </rPr>
      <t xml:space="preserve">TRI_prix </t>
    </r>
    <r>
      <rPr>
        <sz val="11"/>
        <color theme="1"/>
        <rFont val="Calibri"/>
        <family val="2"/>
        <scheme val="minor"/>
      </rPr>
      <t>: calcule le taux de rendement interne, par régime et total, pour des flux déflatés selon les prix.</t>
    </r>
  </si>
  <si>
    <r>
      <t xml:space="preserve">- onglet </t>
    </r>
    <r>
      <rPr>
        <b/>
        <i/>
        <sz val="11"/>
        <color theme="1"/>
        <rFont val="Calibri"/>
        <family val="2"/>
        <scheme val="minor"/>
      </rPr>
      <t xml:space="preserve">TRI_smpt </t>
    </r>
    <r>
      <rPr>
        <sz val="11"/>
        <color theme="1"/>
        <rFont val="Calibri"/>
        <family val="2"/>
        <scheme val="minor"/>
      </rPr>
      <t>: calcule le taux de rendement interne, par régime et total, pour des flux déflatés selon les salaires.</t>
    </r>
  </si>
  <si>
    <r>
      <t xml:space="preserve">- onglet </t>
    </r>
    <r>
      <rPr>
        <b/>
        <i/>
        <sz val="11"/>
        <color theme="1"/>
        <rFont val="Calibri"/>
        <family val="2"/>
        <scheme val="minor"/>
      </rPr>
      <t xml:space="preserve">TRecup_prix </t>
    </r>
    <r>
      <rPr>
        <sz val="11"/>
        <color theme="1"/>
        <rFont val="Calibri"/>
        <family val="2"/>
        <scheme val="minor"/>
      </rPr>
      <t>: calcule le taux de récupération, par régime et total, pour des flux déflatés selon les prix.</t>
    </r>
  </si>
  <si>
    <r>
      <t xml:space="preserve">- onglet </t>
    </r>
    <r>
      <rPr>
        <b/>
        <i/>
        <sz val="11"/>
        <color theme="1"/>
        <rFont val="Calibri"/>
        <family val="2"/>
        <scheme val="minor"/>
      </rPr>
      <t xml:space="preserve">TRecup_smpt </t>
    </r>
    <r>
      <rPr>
        <sz val="11"/>
        <color theme="1"/>
        <rFont val="Calibri"/>
        <family val="2"/>
        <scheme val="minor"/>
      </rPr>
      <t>: calcule le taux de récupération, par régime et total, pour des flux déflatés selon les salaires.</t>
    </r>
  </si>
  <si>
    <t>Ils sont réalisés avec l'hypothèse basse de progression de l'espérance de vie retenue par l'INSEE en 2016</t>
  </si>
  <si>
    <t xml:space="preserve">Le calcul des espérances de vie par CSP (cadre ou ouvrier) est effectué en reproduisant sur la génération 2000 </t>
  </si>
  <si>
    <t>les écarts constatés dans le passé récent par rapport à l'espérance de vie moyenne de chaque sexe.</t>
  </si>
  <si>
    <t>(dernières projections de l'INSEE, retenues à ce jour pour les projections du COR).</t>
  </si>
  <si>
    <t xml:space="preserve">info@cor-retraites.fr </t>
  </si>
  <si>
    <t>Il calcule les indicateurs de rendement correspondant, ainsi que le taux de remplacement à la liquidation.</t>
  </si>
  <si>
    <r>
      <t xml:space="preserve">- onglet </t>
    </r>
    <r>
      <rPr>
        <b/>
        <i/>
        <sz val="11"/>
        <color theme="1"/>
        <rFont val="Calibri"/>
        <family val="2"/>
        <scheme val="minor"/>
      </rPr>
      <t>Salaires</t>
    </r>
    <r>
      <rPr>
        <sz val="11"/>
        <color theme="1"/>
        <rFont val="Calibri"/>
        <family val="2"/>
        <scheme val="minor"/>
      </rPr>
      <t xml:space="preserve"> : calcule les salaires bruts durant l'activité, par tranche, et les salaires nets de prélèvements sociaux,</t>
    </r>
  </si>
  <si>
    <t>Les indicateurs sont calculés en déflatant les flux monétaires selon les prix prix ou selon le salaire moyen par tête (SMPT).</t>
  </si>
  <si>
    <t>Dispositifs solidarité</t>
  </si>
  <si>
    <t>Indexation</t>
  </si>
  <si>
    <t>Conditions de liquidation</t>
  </si>
  <si>
    <t>Quelles sont ses contraintes ?</t>
  </si>
  <si>
    <t xml:space="preserve">Le calcul n'aurait pas de sens pour des fonctionnaires de l'État : la cotisation employeur est une contribution qui assure </t>
  </si>
  <si>
    <r>
      <t xml:space="preserve">Par ailleurs, postuler que la cotisation patronale est </t>
    </r>
    <r>
      <rPr>
        <i/>
        <sz val="11"/>
        <color theme="1"/>
        <rFont val="Calibri"/>
        <family val="2"/>
        <scheme val="minor"/>
      </rPr>
      <t>in fine</t>
    </r>
    <r>
      <rPr>
        <sz val="11"/>
        <color theme="1"/>
        <rFont val="Calibri"/>
        <family val="2"/>
        <scheme val="minor"/>
      </rPr>
      <t xml:space="preserve"> supportée par le salarié du privé a du sens (incidence fiscale), </t>
    </r>
  </si>
  <si>
    <t>Il appartient à l'utilisateur de veiller à la cohérence des choix de simulation qu'il effectue.</t>
  </si>
  <si>
    <t>Il a été réalisé par le Secrétariat général du COR, sans engager les membres du Conseil.</t>
  </si>
  <si>
    <t>À qui faut-il signaler une anomalie ? Ou une amélioration ?</t>
  </si>
  <si>
    <t>N'hésitez pas à nous signaler toute anomalie ou à nous formuler vos propositions d'amélioration !</t>
  </si>
  <si>
    <r>
      <rPr>
        <b/>
        <sz val="11"/>
        <color theme="1"/>
        <rFont val="Calibri"/>
        <family val="2"/>
        <scheme val="minor"/>
      </rPr>
      <t xml:space="preserve">2) </t>
    </r>
    <r>
      <rPr>
        <sz val="11"/>
        <color theme="1"/>
        <rFont val="Calibri"/>
        <family val="2"/>
        <scheme val="minor"/>
      </rPr>
      <t>Les onglets de calcul se remplissent automatiquement. Par défaut, ces onglets sont masqués (sans mot de passe).</t>
    </r>
  </si>
  <si>
    <t>Ce simulateur calcule les cotisations et pensions de droits direct d’un salarié du secteur privé choisi parmi différents cas types.</t>
  </si>
  <si>
    <r>
      <rPr>
        <b/>
        <i/>
        <sz val="12"/>
        <color theme="0"/>
        <rFont val="Symbol"/>
        <family val="1"/>
        <charset val="2"/>
      </rPr>
      <t>®</t>
    </r>
    <r>
      <rPr>
        <b/>
        <i/>
        <sz val="12"/>
        <color theme="0"/>
        <rFont val="Calibri"/>
        <family val="2"/>
      </rPr>
      <t xml:space="preserve"> </t>
    </r>
    <r>
      <rPr>
        <b/>
        <i/>
        <sz val="12"/>
        <color theme="0"/>
        <rFont val="Calibri"/>
        <family val="2"/>
        <scheme val="minor"/>
      </rPr>
      <t>Caractéristiques de l'individu</t>
    </r>
  </si>
  <si>
    <r>
      <rPr>
        <b/>
        <i/>
        <sz val="12"/>
        <color theme="0"/>
        <rFont val="Symbol"/>
        <family val="1"/>
        <charset val="2"/>
      </rPr>
      <t>®</t>
    </r>
    <r>
      <rPr>
        <b/>
        <i/>
        <sz val="12"/>
        <color theme="0"/>
        <rFont val="Calibri"/>
        <family val="2"/>
      </rPr>
      <t xml:space="preserve"> </t>
    </r>
    <r>
      <rPr>
        <b/>
        <i/>
        <sz val="12"/>
        <color theme="0"/>
        <rFont val="Calibri"/>
        <family val="2"/>
        <scheme val="minor"/>
      </rPr>
      <t>Législation simulée sur les disposiifs de solidarité</t>
    </r>
  </si>
  <si>
    <r>
      <rPr>
        <b/>
        <i/>
        <sz val="12"/>
        <color theme="0"/>
        <rFont val="Symbol"/>
        <family val="1"/>
        <charset val="2"/>
      </rPr>
      <t>®</t>
    </r>
    <r>
      <rPr>
        <b/>
        <i/>
        <sz val="12"/>
        <color theme="0"/>
        <rFont val="Calibri"/>
        <family val="2"/>
      </rPr>
      <t xml:space="preserve"> </t>
    </r>
    <r>
      <rPr>
        <b/>
        <i/>
        <sz val="12"/>
        <color theme="0"/>
        <rFont val="Calibri"/>
        <family val="2"/>
        <scheme val="minor"/>
      </rPr>
      <t>Législation simulée sur les conditions de liquidation</t>
    </r>
  </si>
  <si>
    <r>
      <rPr>
        <b/>
        <i/>
        <sz val="12"/>
        <color theme="0"/>
        <rFont val="Symbol"/>
        <family val="1"/>
        <charset val="2"/>
      </rPr>
      <t>®</t>
    </r>
    <r>
      <rPr>
        <b/>
        <i/>
        <sz val="12"/>
        <color theme="0"/>
        <rFont val="Calibri"/>
        <family val="2"/>
      </rPr>
      <t xml:space="preserve"> </t>
    </r>
    <r>
      <rPr>
        <b/>
        <i/>
        <sz val="12"/>
        <color theme="0"/>
        <rFont val="Calibri"/>
        <family val="2"/>
        <scheme val="minor"/>
      </rPr>
      <t>Législation simulée sur l'indexation</t>
    </r>
  </si>
  <si>
    <r>
      <rPr>
        <b/>
        <i/>
        <sz val="12"/>
        <color theme="0"/>
        <rFont val="Symbol"/>
        <family val="1"/>
        <charset val="2"/>
      </rPr>
      <t>®</t>
    </r>
    <r>
      <rPr>
        <b/>
        <i/>
        <sz val="12"/>
        <color theme="0"/>
        <rFont val="Calibri"/>
        <family val="2"/>
      </rPr>
      <t xml:space="preserve"> </t>
    </r>
    <r>
      <rPr>
        <b/>
        <i/>
        <sz val="12"/>
        <color theme="0"/>
        <rFont val="Calibri"/>
        <family val="2"/>
        <scheme val="minor"/>
      </rPr>
      <t>Législation simulée : cotisations</t>
    </r>
  </si>
  <si>
    <r>
      <rPr>
        <b/>
        <i/>
        <sz val="12"/>
        <color theme="0"/>
        <rFont val="Symbol"/>
        <family val="1"/>
        <charset val="2"/>
      </rPr>
      <t>®</t>
    </r>
    <r>
      <rPr>
        <b/>
        <i/>
        <sz val="12"/>
        <color theme="0"/>
        <rFont val="Calibri"/>
        <family val="2"/>
      </rPr>
      <t xml:space="preserve"> </t>
    </r>
    <r>
      <rPr>
        <b/>
        <i/>
        <sz val="12"/>
        <color theme="0"/>
        <rFont val="Calibri"/>
        <family val="2"/>
        <scheme val="minor"/>
      </rPr>
      <t>Scénario économique</t>
    </r>
  </si>
  <si>
    <r>
      <rPr>
        <b/>
        <sz val="11"/>
        <color theme="0"/>
        <rFont val="Calibri"/>
        <family val="2"/>
        <scheme val="minor"/>
      </rPr>
      <t xml:space="preserve">1) </t>
    </r>
    <r>
      <rPr>
        <sz val="11"/>
        <color theme="0"/>
        <rFont val="Calibri"/>
        <family val="2"/>
        <scheme val="minor"/>
      </rPr>
      <t xml:space="preserve">L'onglet </t>
    </r>
    <r>
      <rPr>
        <b/>
        <sz val="11"/>
        <color theme="0"/>
        <rFont val="Calibri"/>
        <family val="2"/>
        <scheme val="minor"/>
      </rPr>
      <t>Simulation</t>
    </r>
    <r>
      <rPr>
        <sz val="11"/>
        <color theme="0"/>
        <rFont val="Calibri"/>
        <family val="2"/>
        <scheme val="minor"/>
      </rPr>
      <t xml:space="preserve"> comprend les informations que doit choisir l'utilisateur.</t>
    </r>
  </si>
  <si>
    <t>taux de rendement interne, taux de récupération, taux de prestation, taux de prélèvement et taux de remplacement.</t>
  </si>
  <si>
    <r>
      <rPr>
        <b/>
        <sz val="11"/>
        <color theme="0"/>
        <rFont val="Calibri"/>
        <family val="2"/>
        <scheme val="minor"/>
      </rPr>
      <t xml:space="preserve">3) </t>
    </r>
    <r>
      <rPr>
        <sz val="11"/>
        <color theme="0"/>
        <rFont val="Calibri"/>
        <family val="2"/>
        <scheme val="minor"/>
      </rPr>
      <t xml:space="preserve">L'onglet </t>
    </r>
    <r>
      <rPr>
        <b/>
        <sz val="11"/>
        <color theme="0"/>
        <rFont val="Calibri"/>
        <family val="2"/>
        <scheme val="minor"/>
      </rPr>
      <t>Résultats</t>
    </r>
    <r>
      <rPr>
        <sz val="11"/>
        <color theme="0"/>
        <rFont val="Calibri"/>
        <family val="2"/>
        <scheme val="minor"/>
      </rPr>
      <t xml:space="preserve"> restitue une synthèse des différents indicateurs : </t>
    </r>
  </si>
  <si>
    <t>Choisir : Homme, Femme (nécessaire pour les droits liés aux enfants)</t>
  </si>
  <si>
    <t>Femme</t>
  </si>
  <si>
    <t>Moyen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</si>
</sst>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€_-;\-* #,##0.00\ _€_-;_-* &quot;-&quot;??\ _€_-;_-@_-"/>
    <numFmt numFmtId="165" formatCode="0.0000"/>
    <numFmt numFmtId="166" formatCode="_-* #,##0\ _€_-;\-* #,##0\ _€_-;_-* &quot;-&quot;??\ _€_-;_-@_-"/>
    <numFmt numFmtId="167" formatCode="_-* #,##0.000\ _€_-;\-* #,##0.000\ _€_-;_-* &quot;-&quot;??\ _€_-;_-@_-"/>
    <numFmt numFmtId="168" formatCode="_-* #,##0.0000\ _€_-;\-* #,##0.0000\ _€_-;_-* &quot;-&quot;??\ _€_-;_-@_-"/>
    <numFmt numFmtId="169" formatCode="0.0%"/>
    <numFmt numFmtId="170" formatCode="#,##0_ ;\-#,##0\ "/>
    <numFmt numFmtId="171" formatCode="00&quot; ans&quot;"/>
    <numFmt numFmtId="172" formatCode="#,##0.0000"/>
    <numFmt numFmtId="173" formatCode="0.000%"/>
    <numFmt numFmtId="174" formatCode="_-* #,##0.0\ _€_-;\-* #,##0.0\ _€_-;_-* &quot;-&quot;??\ _€_-;_-@_-"/>
    <numFmt numFmtId="175" formatCode="0&quot; ans&quot;"/>
    <numFmt numFmtId="176" formatCode="_-* #,##0.0000\ _€_-;\-* #,##0.0000\ _€_-;_-* &quot;-&quot;????\ _€_-;_-@_-"/>
    <numFmt numFmtId="177" formatCode="#,##0.0"/>
    <numFmt numFmtId="178" formatCode="_-* #,##0.00\ _F_-;\-* #,##0.00\ _F_-;_-* &quot;-&quot;??\ _F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  <scheme val="maj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</font>
    <font>
      <sz val="11"/>
      <color indexed="17"/>
      <name val="Calibri"/>
      <family val="2"/>
    </font>
    <font>
      <sz val="11"/>
      <color theme="8" tint="-0.249977111117893"/>
      <name val="Calibri"/>
      <family val="2"/>
    </font>
    <font>
      <sz val="11"/>
      <color indexed="46"/>
      <name val="Calibri"/>
      <family val="2"/>
    </font>
    <font>
      <sz val="10"/>
      <color theme="8" tint="-0.249977111117893"/>
      <name val="Arial"/>
      <family val="2"/>
    </font>
    <font>
      <i/>
      <sz val="10"/>
      <color theme="1" tint="0.49998474074526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2"/>
      <color theme="0"/>
      <name val="Symbol"/>
      <family val="1"/>
      <charset val="2"/>
    </font>
    <font>
      <b/>
      <i/>
      <sz val="12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darkDown">
        <fgColor theme="0"/>
        <bgColor theme="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33" fillId="0" borderId="0"/>
    <xf numFmtId="178" fontId="15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845">
    <xf numFmtId="0" fontId="0" fillId="0" borderId="0" xfId="0"/>
    <xf numFmtId="0" fontId="2" fillId="0" borderId="0" xfId="0" applyFont="1"/>
    <xf numFmtId="166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1" applyNumberFormat="1" applyFont="1"/>
    <xf numFmtId="10" fontId="0" fillId="0" borderId="0" xfId="2" applyNumberFormat="1" applyFont="1"/>
    <xf numFmtId="4" fontId="0" fillId="0" borderId="0" xfId="0" applyNumberFormat="1"/>
    <xf numFmtId="0" fontId="3" fillId="0" borderId="0" xfId="0" applyFont="1"/>
    <xf numFmtId="166" fontId="3" fillId="0" borderId="0" xfId="1" applyNumberFormat="1" applyFont="1"/>
    <xf numFmtId="10" fontId="3" fillId="0" borderId="0" xfId="2" applyNumberFormat="1" applyFont="1"/>
    <xf numFmtId="4" fontId="3" fillId="0" borderId="0" xfId="0" applyNumberFormat="1" applyFont="1"/>
    <xf numFmtId="166" fontId="3" fillId="0" borderId="0" xfId="1" applyNumberFormat="1" applyFont="1" applyAlignment="1">
      <alignment wrapText="1"/>
    </xf>
    <xf numFmtId="166" fontId="0" fillId="0" borderId="2" xfId="1" applyNumberFormat="1" applyFont="1" applyBorder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9" fontId="0" fillId="0" borderId="0" xfId="2" applyNumberFormat="1" applyFont="1" applyAlignment="1">
      <alignment horizontal="center"/>
    </xf>
    <xf numFmtId="3" fontId="0" fillId="0" borderId="0" xfId="0" applyNumberFormat="1"/>
    <xf numFmtId="0" fontId="4" fillId="0" borderId="5" xfId="0" applyFont="1" applyBorder="1" applyAlignment="1">
      <alignment horizontal="center"/>
    </xf>
    <xf numFmtId="0" fontId="3" fillId="0" borderId="0" xfId="0" applyFont="1" applyBorder="1"/>
    <xf numFmtId="166" fontId="0" fillId="2" borderId="0" xfId="1" applyNumberFormat="1" applyFont="1" applyFill="1"/>
    <xf numFmtId="166" fontId="0" fillId="4" borderId="2" xfId="1" applyNumberFormat="1" applyFont="1" applyFill="1" applyBorder="1"/>
    <xf numFmtId="166" fontId="0" fillId="4" borderId="0" xfId="1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5" borderId="7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0" xfId="0" applyNumberFormat="1"/>
    <xf numFmtId="0" fontId="2" fillId="0" borderId="19" xfId="0" applyFont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ont="1"/>
    <xf numFmtId="0" fontId="2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3" borderId="0" xfId="0" applyFont="1" applyFill="1"/>
    <xf numFmtId="0" fontId="0" fillId="3" borderId="0" xfId="0" applyFill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0" fontId="1" fillId="0" borderId="2" xfId="2" applyNumberFormat="1" applyFont="1" applyBorder="1" applyAlignment="1">
      <alignment horizontal="center"/>
    </xf>
    <xf numFmtId="10" fontId="0" fillId="2" borderId="2" xfId="2" applyNumberFormat="1" applyFont="1" applyFill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169" fontId="0" fillId="2" borderId="0" xfId="2" applyNumberFormat="1" applyFont="1" applyFill="1" applyAlignment="1">
      <alignment horizontal="center"/>
    </xf>
    <xf numFmtId="169" fontId="1" fillId="0" borderId="0" xfId="2" applyNumberFormat="1" applyFont="1" applyBorder="1" applyAlignment="1">
      <alignment horizontal="center"/>
    </xf>
    <xf numFmtId="169" fontId="1" fillId="0" borderId="0" xfId="2" applyNumberFormat="1" applyFont="1" applyAlignment="1">
      <alignment horizontal="center"/>
    </xf>
    <xf numFmtId="166" fontId="1" fillId="0" borderId="0" xfId="1" applyNumberFormat="1" applyFont="1"/>
    <xf numFmtId="4" fontId="0" fillId="2" borderId="0" xfId="0" applyNumberFormat="1" applyFill="1"/>
    <xf numFmtId="10" fontId="1" fillId="0" borderId="0" xfId="2" applyNumberFormat="1" applyFont="1" applyBorder="1" applyAlignment="1">
      <alignment horizontal="center"/>
    </xf>
    <xf numFmtId="9" fontId="1" fillId="0" borderId="0" xfId="2" applyNumberFormat="1" applyFont="1" applyBorder="1" applyAlignment="1">
      <alignment horizontal="center"/>
    </xf>
    <xf numFmtId="10" fontId="1" fillId="2" borderId="2" xfId="2" applyNumberFormat="1" applyFont="1" applyFill="1" applyBorder="1" applyAlignment="1">
      <alignment horizontal="center"/>
    </xf>
    <xf numFmtId="10" fontId="1" fillId="2" borderId="0" xfId="2" applyNumberFormat="1" applyFont="1" applyFill="1" applyBorder="1" applyAlignment="1">
      <alignment horizontal="center"/>
    </xf>
    <xf numFmtId="9" fontId="1" fillId="2" borderId="0" xfId="2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172" fontId="0" fillId="0" borderId="0" xfId="0" applyNumberFormat="1" applyFont="1" applyBorder="1" applyAlignment="1">
      <alignment horizontal="center"/>
    </xf>
    <xf numFmtId="168" fontId="0" fillId="2" borderId="0" xfId="1" applyNumberFormat="1" applyFont="1" applyFill="1"/>
    <xf numFmtId="172" fontId="0" fillId="0" borderId="0" xfId="0" applyNumberFormat="1"/>
    <xf numFmtId="0" fontId="10" fillId="5" borderId="16" xfId="0" applyFont="1" applyFill="1" applyBorder="1" applyAlignment="1">
      <alignment horizontal="center" vertical="center" wrapText="1"/>
    </xf>
    <xf numFmtId="10" fontId="0" fillId="0" borderId="0" xfId="0" applyNumberFormat="1" applyFont="1" applyBorder="1" applyAlignment="1">
      <alignment horizontal="center"/>
    </xf>
    <xf numFmtId="10" fontId="0" fillId="2" borderId="0" xfId="0" applyNumberFormat="1" applyFont="1" applyFill="1" applyBorder="1" applyAlignment="1">
      <alignment horizontal="center"/>
    </xf>
    <xf numFmtId="166" fontId="0" fillId="2" borderId="0" xfId="0" applyNumberFormat="1" applyFill="1"/>
    <xf numFmtId="10" fontId="0" fillId="5" borderId="0" xfId="0" applyNumberFormat="1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6" fontId="1" fillId="2" borderId="0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vertical="center" wrapText="1"/>
    </xf>
    <xf numFmtId="167" fontId="1" fillId="0" borderId="0" xfId="1" applyNumberFormat="1" applyFont="1" applyBorder="1" applyAlignment="1">
      <alignment horizontal="center" wrapText="1"/>
    </xf>
    <xf numFmtId="166" fontId="1" fillId="0" borderId="0" xfId="1" applyNumberFormat="1" applyFont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10" fillId="5" borderId="18" xfId="0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71" fontId="0" fillId="3" borderId="0" xfId="0" applyNumberFormat="1" applyFill="1"/>
    <xf numFmtId="0" fontId="8" fillId="8" borderId="29" xfId="0" applyFont="1" applyFill="1" applyBorder="1" applyAlignment="1">
      <alignment horizontal="center" vertical="center"/>
    </xf>
    <xf numFmtId="0" fontId="0" fillId="9" borderId="28" xfId="0" applyFont="1" applyFill="1" applyBorder="1" applyAlignment="1">
      <alignment horizontal="center" vertical="center"/>
    </xf>
    <xf numFmtId="0" fontId="0" fillId="9" borderId="28" xfId="2" applyNumberFormat="1" applyFont="1" applyFill="1" applyBorder="1" applyAlignment="1">
      <alignment horizontal="center" vertical="center"/>
    </xf>
    <xf numFmtId="0" fontId="6" fillId="8" borderId="29" xfId="0" applyFont="1" applyFill="1" applyBorder="1"/>
    <xf numFmtId="0" fontId="2" fillId="9" borderId="28" xfId="0" applyFont="1" applyFill="1" applyBorder="1"/>
    <xf numFmtId="0" fontId="2" fillId="9" borderId="30" xfId="0" applyFont="1" applyFill="1" applyBorder="1"/>
    <xf numFmtId="164" fontId="0" fillId="3" borderId="0" xfId="1" applyFont="1" applyFill="1"/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0" fontId="10" fillId="12" borderId="7" xfId="0" applyFont="1" applyFill="1" applyBorder="1"/>
    <xf numFmtId="169" fontId="10" fillId="12" borderId="7" xfId="2" applyNumberFormat="1" applyFont="1" applyFill="1" applyBorder="1" applyAlignment="1">
      <alignment horizontal="center" vertical="center"/>
    </xf>
    <xf numFmtId="164" fontId="13" fillId="3" borderId="0" xfId="1" applyFont="1" applyFill="1"/>
    <xf numFmtId="0" fontId="10" fillId="13" borderId="7" xfId="0" applyFont="1" applyFill="1" applyBorder="1"/>
    <xf numFmtId="0" fontId="10" fillId="3" borderId="0" xfId="0" applyFont="1" applyFill="1" applyBorder="1"/>
    <xf numFmtId="169" fontId="10" fillId="11" borderId="0" xfId="2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2" fillId="0" borderId="31" xfId="0" applyFon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6" fontId="0" fillId="0" borderId="37" xfId="1" applyNumberFormat="1" applyFont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166" fontId="0" fillId="0" borderId="42" xfId="1" applyNumberFormat="1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3" fillId="0" borderId="0" xfId="0" applyFont="1" applyAlignment="1">
      <alignment vertical="top"/>
    </xf>
    <xf numFmtId="166" fontId="0" fillId="0" borderId="54" xfId="1" applyNumberFormat="1" applyFont="1" applyBorder="1" applyAlignment="1">
      <alignment horizontal="center"/>
    </xf>
    <xf numFmtId="166" fontId="0" fillId="0" borderId="55" xfId="1" applyNumberFormat="1" applyFont="1" applyBorder="1" applyAlignment="1">
      <alignment horizontal="center"/>
    </xf>
    <xf numFmtId="166" fontId="0" fillId="0" borderId="56" xfId="1" applyNumberFormat="1" applyFont="1" applyBorder="1" applyAlignment="1">
      <alignment horizontal="center"/>
    </xf>
    <xf numFmtId="166" fontId="0" fillId="0" borderId="57" xfId="1" applyNumberFormat="1" applyFon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2" fontId="0" fillId="0" borderId="3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17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10" fontId="2" fillId="3" borderId="0" xfId="0" applyNumberFormat="1" applyFont="1" applyFill="1" applyBorder="1"/>
    <xf numFmtId="9" fontId="2" fillId="0" borderId="0" xfId="0" applyNumberFormat="1" applyFont="1" applyAlignment="1">
      <alignment horizontal="left"/>
    </xf>
    <xf numFmtId="10" fontId="0" fillId="0" borderId="0" xfId="2" applyNumberFormat="1" applyFont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166" fontId="0" fillId="0" borderId="58" xfId="1" applyNumberFormat="1" applyFont="1" applyBorder="1" applyAlignment="1">
      <alignment horizontal="center"/>
    </xf>
    <xf numFmtId="166" fontId="0" fillId="0" borderId="59" xfId="1" applyNumberFormat="1" applyFont="1" applyBorder="1" applyAlignment="1">
      <alignment horizontal="center"/>
    </xf>
    <xf numFmtId="166" fontId="0" fillId="0" borderId="6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3" fillId="14" borderId="10" xfId="1" applyFont="1" applyFill="1" applyBorder="1" applyAlignment="1">
      <alignment horizontal="center"/>
    </xf>
    <xf numFmtId="164" fontId="3" fillId="14" borderId="0" xfId="1" applyFont="1" applyFill="1" applyBorder="1" applyAlignment="1">
      <alignment horizontal="center"/>
    </xf>
    <xf numFmtId="164" fontId="3" fillId="14" borderId="11" xfId="1" applyFont="1" applyFill="1" applyBorder="1" applyAlignment="1">
      <alignment horizontal="center"/>
    </xf>
    <xf numFmtId="0" fontId="0" fillId="14" borderId="10" xfId="0" applyFont="1" applyFill="1" applyBorder="1"/>
    <xf numFmtId="0" fontId="2" fillId="14" borderId="0" xfId="0" applyFont="1" applyFill="1" applyBorder="1" applyAlignment="1">
      <alignment horizontal="right"/>
    </xf>
    <xf numFmtId="9" fontId="2" fillId="14" borderId="0" xfId="0" applyNumberFormat="1" applyFont="1" applyFill="1" applyBorder="1" applyAlignment="1">
      <alignment horizontal="left"/>
    </xf>
    <xf numFmtId="0" fontId="0" fillId="14" borderId="0" xfId="0" applyFont="1" applyFill="1" applyBorder="1"/>
    <xf numFmtId="9" fontId="2" fillId="14" borderId="11" xfId="0" applyNumberFormat="1" applyFont="1" applyFill="1" applyBorder="1" applyAlignment="1">
      <alignment horizontal="left"/>
    </xf>
    <xf numFmtId="0" fontId="0" fillId="14" borderId="12" xfId="0" applyFont="1" applyFill="1" applyBorder="1"/>
    <xf numFmtId="0" fontId="2" fillId="14" borderId="26" xfId="0" applyFont="1" applyFill="1" applyBorder="1" applyAlignment="1">
      <alignment horizontal="right"/>
    </xf>
    <xf numFmtId="9" fontId="2" fillId="14" borderId="26" xfId="0" applyNumberFormat="1" applyFont="1" applyFill="1" applyBorder="1" applyAlignment="1">
      <alignment horizontal="left"/>
    </xf>
    <xf numFmtId="0" fontId="0" fillId="14" borderId="26" xfId="0" applyFont="1" applyFill="1" applyBorder="1"/>
    <xf numFmtId="9" fontId="2" fillId="14" borderId="13" xfId="0" applyNumberFormat="1" applyFont="1" applyFill="1" applyBorder="1" applyAlignment="1">
      <alignment horizontal="left"/>
    </xf>
    <xf numFmtId="0" fontId="3" fillId="3" borderId="0" xfId="0" applyFont="1" applyFill="1" applyAlignment="1"/>
    <xf numFmtId="171" fontId="3" fillId="3" borderId="0" xfId="0" applyNumberFormat="1" applyFont="1" applyFill="1" applyAlignment="1">
      <alignment horizontal="left"/>
    </xf>
    <xf numFmtId="0" fontId="2" fillId="7" borderId="31" xfId="0" applyFont="1" applyFill="1" applyBorder="1" applyAlignment="1">
      <alignment horizontal="center"/>
    </xf>
    <xf numFmtId="10" fontId="2" fillId="7" borderId="53" xfId="0" applyNumberFormat="1" applyFont="1" applyFill="1" applyBorder="1" applyAlignment="1">
      <alignment horizontal="center"/>
    </xf>
    <xf numFmtId="10" fontId="2" fillId="7" borderId="33" xfId="0" applyNumberFormat="1" applyFont="1" applyFill="1" applyBorder="1" applyAlignment="1">
      <alignment horizontal="center"/>
    </xf>
    <xf numFmtId="169" fontId="2" fillId="0" borderId="0" xfId="0" applyNumberFormat="1" applyFont="1" applyAlignment="1">
      <alignment horizontal="center"/>
    </xf>
    <xf numFmtId="169" fontId="2" fillId="14" borderId="31" xfId="0" applyNumberFormat="1" applyFont="1" applyFill="1" applyBorder="1" applyAlignment="1">
      <alignment horizontal="center"/>
    </xf>
    <xf numFmtId="169" fontId="2" fillId="14" borderId="61" xfId="0" applyNumberFormat="1" applyFont="1" applyFill="1" applyBorder="1" applyAlignment="1">
      <alignment horizontal="center"/>
    </xf>
    <xf numFmtId="169" fontId="2" fillId="14" borderId="14" xfId="0" applyNumberFormat="1" applyFont="1" applyFill="1" applyBorder="1" applyAlignment="1">
      <alignment horizontal="center"/>
    </xf>
    <xf numFmtId="166" fontId="0" fillId="3" borderId="0" xfId="1" applyNumberFormat="1" applyFont="1" applyFill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1" fillId="0" borderId="63" xfId="1" applyNumberFormat="1" applyFont="1" applyBorder="1" applyAlignment="1">
      <alignment horizontal="center"/>
    </xf>
    <xf numFmtId="166" fontId="10" fillId="0" borderId="0" xfId="0" applyNumberFormat="1" applyFont="1"/>
    <xf numFmtId="166" fontId="19" fillId="0" borderId="0" xfId="0" applyNumberFormat="1" applyFont="1" applyBorder="1" applyAlignment="1">
      <alignment horizontal="right"/>
    </xf>
    <xf numFmtId="166" fontId="13" fillId="0" borderId="0" xfId="1" applyNumberFormat="1" applyFont="1"/>
    <xf numFmtId="0" fontId="13" fillId="0" borderId="0" xfId="0" applyFont="1"/>
    <xf numFmtId="0" fontId="20" fillId="0" borderId="0" xfId="0" applyFont="1"/>
    <xf numFmtId="166" fontId="13" fillId="0" borderId="0" xfId="1" applyNumberFormat="1" applyFont="1" applyBorder="1" applyAlignment="1">
      <alignment horizontal="center"/>
    </xf>
    <xf numFmtId="166" fontId="13" fillId="0" borderId="63" xfId="1" applyNumberFormat="1" applyFont="1" applyBorder="1" applyAlignment="1">
      <alignment horizontal="center"/>
    </xf>
    <xf numFmtId="166" fontId="19" fillId="0" borderId="0" xfId="0" applyNumberFormat="1" applyFont="1"/>
    <xf numFmtId="0" fontId="10" fillId="0" borderId="0" xfId="0" applyFont="1"/>
    <xf numFmtId="166" fontId="10" fillId="0" borderId="63" xfId="0" applyNumberFormat="1" applyFont="1" applyBorder="1"/>
    <xf numFmtId="166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0" fontId="2" fillId="0" borderId="1" xfId="1" applyNumberFormat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vertical="center" wrapText="1"/>
    </xf>
    <xf numFmtId="166" fontId="10" fillId="0" borderId="62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0" fontId="10" fillId="0" borderId="1" xfId="1" applyNumberFormat="1" applyFont="1" applyBorder="1" applyAlignment="1">
      <alignment horizontal="center" vertical="center" wrapText="1"/>
    </xf>
    <xf numFmtId="170" fontId="19" fillId="0" borderId="1" xfId="1" applyNumberFormat="1" applyFont="1" applyBorder="1" applyAlignment="1">
      <alignment horizontal="center" vertical="center" wrapText="1"/>
    </xf>
    <xf numFmtId="170" fontId="10" fillId="0" borderId="62" xfId="1" applyNumberFormat="1" applyFont="1" applyBorder="1" applyAlignment="1">
      <alignment horizontal="center" vertical="center" wrapText="1"/>
    </xf>
    <xf numFmtId="169" fontId="13" fillId="0" borderId="0" xfId="2" applyNumberFormat="1" applyFont="1" applyAlignment="1">
      <alignment horizontal="center"/>
    </xf>
    <xf numFmtId="0" fontId="17" fillId="3" borderId="0" xfId="0" applyFont="1" applyFill="1" applyAlignment="1">
      <alignment horizontal="right"/>
    </xf>
    <xf numFmtId="0" fontId="22" fillId="3" borderId="0" xfId="0" applyFont="1" applyFill="1" applyBorder="1" applyAlignment="1">
      <alignment horizontal="right"/>
    </xf>
    <xf numFmtId="169" fontId="22" fillId="3" borderId="0" xfId="2" applyNumberFormat="1" applyFont="1" applyFill="1" applyBorder="1" applyAlignment="1">
      <alignment horizontal="right" vertical="center"/>
    </xf>
    <xf numFmtId="0" fontId="21" fillId="14" borderId="32" xfId="0" applyFont="1" applyFill="1" applyBorder="1" applyAlignment="1">
      <alignment horizontal="right"/>
    </xf>
    <xf numFmtId="0" fontId="21" fillId="14" borderId="30" xfId="0" applyFont="1" applyFill="1" applyBorder="1" applyAlignment="1">
      <alignment horizontal="right"/>
    </xf>
    <xf numFmtId="0" fontId="10" fillId="15" borderId="7" xfId="0" applyFont="1" applyFill="1" applyBorder="1"/>
    <xf numFmtId="0" fontId="3" fillId="3" borderId="1" xfId="0" applyFont="1" applyFill="1" applyBorder="1" applyAlignment="1"/>
    <xf numFmtId="171" fontId="3" fillId="3" borderId="1" xfId="0" applyNumberFormat="1" applyFont="1" applyFill="1" applyBorder="1" applyAlignment="1">
      <alignment horizontal="left"/>
    </xf>
    <xf numFmtId="0" fontId="21" fillId="15" borderId="38" xfId="0" applyFont="1" applyFill="1" applyBorder="1" applyAlignment="1">
      <alignment horizontal="right"/>
    </xf>
    <xf numFmtId="0" fontId="21" fillId="15" borderId="30" xfId="0" applyFont="1" applyFill="1" applyBorder="1" applyAlignment="1">
      <alignment horizontal="right"/>
    </xf>
    <xf numFmtId="0" fontId="21" fillId="13" borderId="30" xfId="0" applyFont="1" applyFill="1" applyBorder="1" applyAlignment="1">
      <alignment horizontal="right"/>
    </xf>
    <xf numFmtId="0" fontId="13" fillId="0" borderId="0" xfId="3" applyFont="1"/>
    <xf numFmtId="0" fontId="13" fillId="0" borderId="64" xfId="3" applyFont="1" applyBorder="1" applyAlignment="1">
      <alignment horizontal="center"/>
    </xf>
    <xf numFmtId="165" fontId="13" fillId="0" borderId="64" xfId="3" applyNumberFormat="1" applyFont="1" applyBorder="1" applyAlignment="1">
      <alignment horizontal="center"/>
    </xf>
    <xf numFmtId="166" fontId="2" fillId="0" borderId="63" xfId="1" applyNumberFormat="1" applyFont="1" applyBorder="1" applyAlignment="1">
      <alignment horizontal="center" vertical="center" wrapText="1"/>
    </xf>
    <xf numFmtId="166" fontId="1" fillId="0" borderId="66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0" fontId="2" fillId="0" borderId="0" xfId="1" applyNumberFormat="1" applyFont="1" applyBorder="1" applyAlignment="1">
      <alignment horizontal="center" vertical="center" wrapText="1"/>
    </xf>
    <xf numFmtId="166" fontId="20" fillId="0" borderId="26" xfId="1" applyNumberFormat="1" applyFont="1" applyBorder="1" applyAlignment="1">
      <alignment horizontal="center"/>
    </xf>
    <xf numFmtId="0" fontId="0" fillId="17" borderId="0" xfId="0" applyFill="1" applyBorder="1"/>
    <xf numFmtId="0" fontId="0" fillId="17" borderId="0" xfId="0" applyFill="1" applyBorder="1" applyAlignment="1">
      <alignment horizontal="right"/>
    </xf>
    <xf numFmtId="166" fontId="0" fillId="17" borderId="0" xfId="1" applyNumberFormat="1" applyFont="1" applyFill="1" applyBorder="1" applyAlignment="1">
      <alignment horizontal="right"/>
    </xf>
    <xf numFmtId="0" fontId="18" fillId="17" borderId="8" xfId="0" applyFont="1" applyFill="1" applyBorder="1"/>
    <xf numFmtId="0" fontId="0" fillId="17" borderId="27" xfId="0" applyFill="1" applyBorder="1"/>
    <xf numFmtId="0" fontId="0" fillId="17" borderId="27" xfId="0" applyFill="1" applyBorder="1" applyAlignment="1">
      <alignment horizontal="right"/>
    </xf>
    <xf numFmtId="166" fontId="0" fillId="17" borderId="27" xfId="1" applyNumberFormat="1" applyFont="1" applyFill="1" applyBorder="1" applyAlignment="1">
      <alignment horizontal="right"/>
    </xf>
    <xf numFmtId="0" fontId="0" fillId="17" borderId="10" xfId="0" applyFill="1" applyBorder="1"/>
    <xf numFmtId="0" fontId="0" fillId="17" borderId="12" xfId="0" applyFill="1" applyBorder="1"/>
    <xf numFmtId="0" fontId="0" fillId="17" borderId="26" xfId="0" applyFill="1" applyBorder="1"/>
    <xf numFmtId="0" fontId="0" fillId="17" borderId="26" xfId="0" applyFill="1" applyBorder="1" applyAlignment="1">
      <alignment horizontal="right"/>
    </xf>
    <xf numFmtId="166" fontId="14" fillId="17" borderId="26" xfId="1" applyNumberFormat="1" applyFont="1" applyFill="1" applyBorder="1" applyAlignment="1">
      <alignment horizontal="right"/>
    </xf>
    <xf numFmtId="170" fontId="14" fillId="17" borderId="26" xfId="1" applyNumberFormat="1" applyFont="1" applyFill="1" applyBorder="1" applyAlignment="1">
      <alignment horizontal="left"/>
    </xf>
    <xf numFmtId="170" fontId="14" fillId="17" borderId="13" xfId="1" applyNumberFormat="1" applyFont="1" applyFill="1" applyBorder="1" applyAlignment="1">
      <alignment horizontal="left"/>
    </xf>
    <xf numFmtId="3" fontId="2" fillId="17" borderId="27" xfId="1" applyNumberFormat="1" applyFont="1" applyFill="1" applyBorder="1" applyAlignment="1">
      <alignment horizontal="left"/>
    </xf>
    <xf numFmtId="3" fontId="2" fillId="17" borderId="0" xfId="1" applyNumberFormat="1" applyFont="1" applyFill="1" applyBorder="1" applyAlignment="1">
      <alignment horizontal="left"/>
    </xf>
    <xf numFmtId="3" fontId="2" fillId="17" borderId="26" xfId="1" applyNumberFormat="1" applyFont="1" applyFill="1" applyBorder="1" applyAlignment="1">
      <alignment horizontal="left"/>
    </xf>
    <xf numFmtId="169" fontId="2" fillId="17" borderId="27" xfId="2" applyNumberFormat="1" applyFont="1" applyFill="1" applyBorder="1" applyAlignment="1">
      <alignment horizontal="left"/>
    </xf>
    <xf numFmtId="170" fontId="2" fillId="17" borderId="0" xfId="1" applyNumberFormat="1" applyFont="1" applyFill="1" applyBorder="1" applyAlignment="1">
      <alignment horizontal="left"/>
    </xf>
    <xf numFmtId="169" fontId="2" fillId="17" borderId="0" xfId="2" applyNumberFormat="1" applyFont="1" applyFill="1" applyBorder="1" applyAlignment="1">
      <alignment horizontal="left"/>
    </xf>
    <xf numFmtId="169" fontId="2" fillId="17" borderId="9" xfId="2" applyNumberFormat="1" applyFont="1" applyFill="1" applyBorder="1" applyAlignment="1">
      <alignment horizontal="left"/>
    </xf>
    <xf numFmtId="169" fontId="2" fillId="17" borderId="11" xfId="2" applyNumberFormat="1" applyFont="1" applyFill="1" applyBorder="1" applyAlignment="1">
      <alignment horizontal="left"/>
    </xf>
    <xf numFmtId="170" fontId="2" fillId="17" borderId="11" xfId="1" applyNumberFormat="1" applyFont="1" applyFill="1" applyBorder="1" applyAlignment="1">
      <alignment horizontal="left"/>
    </xf>
    <xf numFmtId="166" fontId="0" fillId="17" borderId="0" xfId="1" applyNumberFormat="1" applyFont="1" applyFill="1" applyBorder="1"/>
    <xf numFmtId="166" fontId="14" fillId="17" borderId="0" xfId="1" applyNumberFormat="1" applyFont="1" applyFill="1" applyBorder="1"/>
    <xf numFmtId="0" fontId="12" fillId="17" borderId="0" xfId="0" applyFont="1" applyFill="1" applyBorder="1"/>
    <xf numFmtId="170" fontId="14" fillId="17" borderId="0" xfId="1" applyNumberFormat="1" applyFont="1" applyFill="1" applyBorder="1" applyAlignment="1">
      <alignment horizontal="right"/>
    </xf>
    <xf numFmtId="0" fontId="12" fillId="17" borderId="26" xfId="0" applyFont="1" applyFill="1" applyBorder="1"/>
    <xf numFmtId="9" fontId="4" fillId="0" borderId="0" xfId="2" applyFont="1" applyBorder="1"/>
    <xf numFmtId="0" fontId="2" fillId="0" borderId="0" xfId="0" applyFont="1" applyAlignment="1">
      <alignment horizontal="center" vertical="center" wrapText="1"/>
    </xf>
    <xf numFmtId="167" fontId="3" fillId="0" borderId="0" xfId="1" applyNumberFormat="1" applyFont="1" applyAlignment="1">
      <alignment wrapText="1"/>
    </xf>
    <xf numFmtId="167" fontId="0" fillId="0" borderId="0" xfId="1" applyNumberFormat="1" applyFont="1"/>
    <xf numFmtId="10" fontId="10" fillId="15" borderId="7" xfId="2" applyNumberFormat="1" applyFont="1" applyFill="1" applyBorder="1" applyAlignment="1">
      <alignment horizontal="center" vertical="center"/>
    </xf>
    <xf numFmtId="10" fontId="21" fillId="15" borderId="38" xfId="2" applyNumberFormat="1" applyFont="1" applyFill="1" applyBorder="1" applyAlignment="1">
      <alignment horizontal="right" vertical="center"/>
    </xf>
    <xf numFmtId="10" fontId="21" fillId="15" borderId="30" xfId="2" applyNumberFormat="1" applyFont="1" applyFill="1" applyBorder="1" applyAlignment="1">
      <alignment horizontal="right" vertical="center"/>
    </xf>
    <xf numFmtId="169" fontId="21" fillId="14" borderId="32" xfId="2" applyNumberFormat="1" applyFont="1" applyFill="1" applyBorder="1" applyAlignment="1">
      <alignment horizontal="right" vertical="center"/>
    </xf>
    <xf numFmtId="169" fontId="21" fillId="14" borderId="30" xfId="2" applyNumberFormat="1" applyFont="1" applyFill="1" applyBorder="1" applyAlignment="1">
      <alignment horizontal="right" vertical="center"/>
    </xf>
    <xf numFmtId="169" fontId="13" fillId="3" borderId="0" xfId="1" applyNumberFormat="1" applyFont="1" applyFill="1"/>
    <xf numFmtId="169" fontId="13" fillId="3" borderId="0" xfId="0" applyNumberFormat="1" applyFont="1" applyFill="1"/>
    <xf numFmtId="169" fontId="20" fillId="3" borderId="1" xfId="0" applyNumberFormat="1" applyFont="1" applyFill="1" applyBorder="1" applyAlignment="1"/>
    <xf numFmtId="169" fontId="20" fillId="3" borderId="0" xfId="0" applyNumberFormat="1" applyFont="1" applyFill="1" applyAlignment="1"/>
    <xf numFmtId="166" fontId="10" fillId="0" borderId="0" xfId="1" applyNumberFormat="1" applyFont="1" applyBorder="1" applyAlignment="1">
      <alignment horizontal="center" vertical="center" wrapText="1"/>
    </xf>
    <xf numFmtId="166" fontId="10" fillId="0" borderId="63" xfId="1" applyNumberFormat="1" applyFont="1" applyBorder="1" applyAlignment="1">
      <alignment horizontal="center" vertical="center" wrapText="1"/>
    </xf>
    <xf numFmtId="170" fontId="10" fillId="0" borderId="0" xfId="1" applyNumberFormat="1" applyFont="1" applyBorder="1" applyAlignment="1">
      <alignment horizontal="center" vertical="center" wrapText="1"/>
    </xf>
    <xf numFmtId="170" fontId="19" fillId="0" borderId="0" xfId="1" applyNumberFormat="1" applyFont="1" applyBorder="1" applyAlignment="1">
      <alignment horizontal="center" vertical="center" wrapText="1"/>
    </xf>
    <xf numFmtId="170" fontId="10" fillId="0" borderId="63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9" fontId="13" fillId="0" borderId="0" xfId="2" applyNumberFormat="1" applyFont="1" applyBorder="1" applyAlignment="1">
      <alignment horizontal="center"/>
    </xf>
    <xf numFmtId="170" fontId="19" fillId="0" borderId="62" xfId="1" applyNumberFormat="1" applyFont="1" applyBorder="1" applyAlignment="1">
      <alignment horizontal="center" vertical="center" wrapText="1"/>
    </xf>
    <xf numFmtId="170" fontId="19" fillId="0" borderId="63" xfId="1" applyNumberFormat="1" applyFont="1" applyBorder="1" applyAlignment="1">
      <alignment horizontal="center" vertical="center" wrapText="1"/>
    </xf>
    <xf numFmtId="166" fontId="19" fillId="0" borderId="63" xfId="0" applyNumberFormat="1" applyFont="1" applyBorder="1" applyAlignment="1">
      <alignment horizontal="right"/>
    </xf>
    <xf numFmtId="170" fontId="23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69" fontId="19" fillId="0" borderId="0" xfId="2" applyNumberFormat="1" applyFont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10" fillId="18" borderId="64" xfId="3" applyFont="1" applyFill="1" applyBorder="1" applyAlignment="1">
      <alignment horizontal="center"/>
    </xf>
    <xf numFmtId="166" fontId="1" fillId="17" borderId="0" xfId="1" applyNumberFormat="1" applyFont="1" applyFill="1" applyBorder="1" applyAlignment="1">
      <alignment horizontal="right"/>
    </xf>
    <xf numFmtId="166" fontId="12" fillId="17" borderId="0" xfId="1" applyNumberFormat="1" applyFont="1" applyFill="1" applyBorder="1" applyAlignment="1">
      <alignment horizontal="right"/>
    </xf>
    <xf numFmtId="166" fontId="1" fillId="3" borderId="0" xfId="1" applyNumberFormat="1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169" fontId="1" fillId="0" borderId="68" xfId="2" applyNumberFormat="1" applyFont="1" applyBorder="1" applyAlignment="1">
      <alignment horizontal="center"/>
    </xf>
    <xf numFmtId="169" fontId="1" fillId="10" borderId="69" xfId="2" applyNumberFormat="1" applyFont="1" applyFill="1" applyBorder="1" applyAlignment="1">
      <alignment horizontal="center"/>
    </xf>
    <xf numFmtId="169" fontId="1" fillId="0" borderId="69" xfId="2" applyNumberFormat="1" applyFont="1" applyBorder="1" applyAlignment="1">
      <alignment horizontal="center"/>
    </xf>
    <xf numFmtId="166" fontId="1" fillId="0" borderId="69" xfId="1" applyNumberFormat="1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169" fontId="1" fillId="0" borderId="71" xfId="2" applyNumberFormat="1" applyFont="1" applyBorder="1" applyAlignment="1">
      <alignment horizontal="center"/>
    </xf>
    <xf numFmtId="166" fontId="1" fillId="0" borderId="71" xfId="1" applyNumberFormat="1" applyFont="1" applyBorder="1" applyAlignment="1">
      <alignment horizontal="center"/>
    </xf>
    <xf numFmtId="0" fontId="4" fillId="3" borderId="0" xfId="0" applyFont="1" applyFill="1"/>
    <xf numFmtId="169" fontId="0" fillId="3" borderId="0" xfId="2" applyNumberFormat="1" applyFont="1" applyFill="1"/>
    <xf numFmtId="169" fontId="4" fillId="3" borderId="0" xfId="0" applyNumberFormat="1" applyFont="1" applyFill="1"/>
    <xf numFmtId="169" fontId="18" fillId="0" borderId="0" xfId="2" applyNumberFormat="1" applyFont="1"/>
    <xf numFmtId="0" fontId="2" fillId="0" borderId="0" xfId="0" applyFont="1" applyAlignment="1">
      <alignment horizontal="center" vertical="center" wrapText="1"/>
    </xf>
    <xf numFmtId="166" fontId="2" fillId="0" borderId="3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2" fillId="0" borderId="3" xfId="2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4" borderId="7" xfId="0" applyFont="1" applyFill="1" applyBorder="1"/>
    <xf numFmtId="170" fontId="10" fillId="4" borderId="7" xfId="1" applyNumberFormat="1" applyFont="1" applyFill="1" applyBorder="1" applyAlignment="1">
      <alignment horizontal="right" vertical="center"/>
    </xf>
    <xf numFmtId="169" fontId="13" fillId="0" borderId="0" xfId="2" applyNumberFormat="1" applyFont="1"/>
    <xf numFmtId="0" fontId="10" fillId="19" borderId="7" xfId="0" applyFont="1" applyFill="1" applyBorder="1"/>
    <xf numFmtId="170" fontId="10" fillId="19" borderId="7" xfId="1" applyNumberFormat="1" applyFont="1" applyFill="1" applyBorder="1" applyAlignment="1">
      <alignment horizontal="right" vertical="center"/>
    </xf>
    <xf numFmtId="10" fontId="0" fillId="0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0" fontId="0" fillId="0" borderId="0" xfId="0" applyNumberFormat="1" applyFont="1" applyAlignment="1">
      <alignment horizontal="center"/>
    </xf>
    <xf numFmtId="10" fontId="24" fillId="0" borderId="0" xfId="0" applyNumberFormat="1" applyFont="1" applyBorder="1" applyAlignment="1">
      <alignment horizontal="center" vertical="top" wrapText="1"/>
    </xf>
    <xf numFmtId="173" fontId="24" fillId="0" borderId="0" xfId="0" applyNumberFormat="1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0" fontId="0" fillId="0" borderId="2" xfId="0" applyNumberFormat="1" applyFont="1" applyFill="1" applyBorder="1" applyAlignment="1">
      <alignment horizontal="center" vertical="center"/>
    </xf>
    <xf numFmtId="173" fontId="0" fillId="0" borderId="0" xfId="0" applyNumberFormat="1" applyFont="1" applyAlignment="1">
      <alignment horizontal="center"/>
    </xf>
    <xf numFmtId="10" fontId="3" fillId="0" borderId="0" xfId="0" applyNumberFormat="1" applyFont="1"/>
    <xf numFmtId="10" fontId="1" fillId="0" borderId="0" xfId="2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170" fontId="0" fillId="3" borderId="0" xfId="0" applyNumberFormat="1" applyFill="1"/>
    <xf numFmtId="170" fontId="10" fillId="3" borderId="0" xfId="1" applyNumberFormat="1" applyFont="1" applyFill="1" applyBorder="1" applyAlignment="1">
      <alignment horizontal="right" vertical="center"/>
    </xf>
    <xf numFmtId="0" fontId="10" fillId="20" borderId="7" xfId="0" applyFont="1" applyFill="1" applyBorder="1"/>
    <xf numFmtId="170" fontId="10" fillId="20" borderId="7" xfId="1" applyNumberFormat="1" applyFont="1" applyFill="1" applyBorder="1" applyAlignment="1">
      <alignment horizontal="right" vertical="center"/>
    </xf>
    <xf numFmtId="169" fontId="3" fillId="0" borderId="0" xfId="2" applyNumberFormat="1" applyFont="1" applyAlignment="1">
      <alignment horizontal="center"/>
    </xf>
    <xf numFmtId="166" fontId="10" fillId="0" borderId="0" xfId="0" applyNumberFormat="1" applyFont="1" applyBorder="1"/>
    <xf numFmtId="10" fontId="0" fillId="0" borderId="0" xfId="0" applyNumberFormat="1"/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9" borderId="28" xfId="0" applyFont="1" applyFill="1" applyBorder="1" applyAlignment="1">
      <alignment vertical="center"/>
    </xf>
    <xf numFmtId="0" fontId="0" fillId="3" borderId="0" xfId="0" applyFill="1" applyAlignment="1"/>
    <xf numFmtId="169" fontId="0" fillId="21" borderId="7" xfId="2" applyNumberFormat="1" applyFont="1" applyFill="1" applyBorder="1" applyAlignment="1">
      <alignment horizontal="center" vertical="center"/>
    </xf>
    <xf numFmtId="0" fontId="6" fillId="22" borderId="29" xfId="0" applyFont="1" applyFill="1" applyBorder="1"/>
    <xf numFmtId="0" fontId="8" fillId="22" borderId="29" xfId="0" applyFont="1" applyFill="1" applyBorder="1" applyAlignment="1">
      <alignment horizontal="center" vertical="center"/>
    </xf>
    <xf numFmtId="0" fontId="2" fillId="10" borderId="28" xfId="0" applyFont="1" applyFill="1" applyBorder="1"/>
    <xf numFmtId="0" fontId="2" fillId="10" borderId="30" xfId="0" applyFont="1" applyFill="1" applyBorder="1"/>
    <xf numFmtId="0" fontId="0" fillId="10" borderId="28" xfId="2" applyNumberFormat="1" applyFont="1" applyFill="1" applyBorder="1" applyAlignment="1">
      <alignment horizontal="center" vertical="center"/>
    </xf>
    <xf numFmtId="0" fontId="0" fillId="10" borderId="28" xfId="0" applyFont="1" applyFill="1" applyBorder="1" applyAlignment="1">
      <alignment horizontal="center" vertical="center"/>
    </xf>
    <xf numFmtId="9" fontId="0" fillId="10" borderId="30" xfId="2" applyFont="1" applyFill="1" applyBorder="1" applyAlignment="1">
      <alignment horizontal="center" vertical="center"/>
    </xf>
    <xf numFmtId="166" fontId="1" fillId="0" borderId="68" xfId="1" applyNumberFormat="1" applyFont="1" applyBorder="1" applyAlignment="1">
      <alignment horizontal="center"/>
    </xf>
    <xf numFmtId="0" fontId="2" fillId="0" borderId="6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166" fontId="1" fillId="0" borderId="74" xfId="1" applyNumberFormat="1" applyFont="1" applyBorder="1" applyAlignment="1">
      <alignment horizontal="center"/>
    </xf>
    <xf numFmtId="0" fontId="0" fillId="10" borderId="30" xfId="0" applyFont="1" applyFill="1" applyBorder="1" applyAlignment="1">
      <alignment horizontal="center" vertical="center"/>
    </xf>
    <xf numFmtId="171" fontId="0" fillId="9" borderId="28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10" fontId="2" fillId="0" borderId="0" xfId="2" applyNumberFormat="1" applyFont="1" applyBorder="1" applyAlignment="1">
      <alignment horizontal="center"/>
    </xf>
    <xf numFmtId="174" fontId="1" fillId="0" borderId="0" xfId="1" applyNumberFormat="1" applyFont="1" applyAlignment="1">
      <alignment horizontal="center"/>
    </xf>
    <xf numFmtId="171" fontId="0" fillId="10" borderId="28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64" fontId="27" fillId="3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9" fontId="0" fillId="0" borderId="0" xfId="2" applyNumberFormat="1" applyFont="1" applyAlignment="1">
      <alignment horizontal="center"/>
    </xf>
    <xf numFmtId="175" fontId="0" fillId="9" borderId="28" xfId="0" applyNumberFormat="1" applyFont="1" applyFill="1" applyBorder="1" applyAlignment="1">
      <alignment horizontal="center" vertical="center"/>
    </xf>
    <xf numFmtId="175" fontId="0" fillId="9" borderId="30" xfId="0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13" fillId="3" borderId="0" xfId="3" applyFont="1" applyFill="1"/>
    <xf numFmtId="0" fontId="28" fillId="3" borderId="0" xfId="3" applyFont="1" applyFill="1"/>
    <xf numFmtId="0" fontId="10" fillId="3" borderId="82" xfId="3" applyFont="1" applyFill="1" applyBorder="1" applyAlignment="1">
      <alignment horizontal="center" vertical="center" wrapText="1"/>
    </xf>
    <xf numFmtId="2" fontId="10" fillId="3" borderId="85" xfId="4" applyNumberFormat="1" applyFont="1" applyFill="1" applyBorder="1" applyAlignment="1">
      <alignment horizontal="center" vertical="center" wrapText="1"/>
    </xf>
    <xf numFmtId="0" fontId="10" fillId="3" borderId="88" xfId="3" applyFont="1" applyFill="1" applyBorder="1" applyAlignment="1">
      <alignment horizontal="center" vertical="center" wrapText="1"/>
    </xf>
    <xf numFmtId="2" fontId="10" fillId="3" borderId="87" xfId="4" applyNumberFormat="1" applyFont="1" applyFill="1" applyBorder="1" applyAlignment="1">
      <alignment horizontal="center" vertical="center" wrapText="1"/>
    </xf>
    <xf numFmtId="0" fontId="13" fillId="3" borderId="89" xfId="3" applyFont="1" applyFill="1" applyBorder="1" applyAlignment="1">
      <alignment horizontal="center"/>
    </xf>
    <xf numFmtId="167" fontId="13" fillId="3" borderId="90" xfId="5" applyNumberFormat="1" applyFont="1" applyFill="1" applyBorder="1" applyAlignment="1">
      <alignment vertical="center" wrapText="1"/>
    </xf>
    <xf numFmtId="10" fontId="13" fillId="3" borderId="91" xfId="4" applyNumberFormat="1" applyFont="1" applyFill="1" applyBorder="1" applyAlignment="1">
      <alignment horizontal="center"/>
    </xf>
    <xf numFmtId="169" fontId="13" fillId="3" borderId="0" xfId="4" applyNumberFormat="1" applyFont="1" applyFill="1"/>
    <xf numFmtId="0" fontId="13" fillId="3" borderId="92" xfId="3" applyFont="1" applyFill="1" applyBorder="1" applyAlignment="1">
      <alignment horizontal="center"/>
    </xf>
    <xf numFmtId="0" fontId="13" fillId="3" borderId="93" xfId="3" applyFont="1" applyFill="1" applyBorder="1"/>
    <xf numFmtId="0" fontId="13" fillId="3" borderId="91" xfId="3" applyFont="1" applyFill="1" applyBorder="1"/>
    <xf numFmtId="169" fontId="13" fillId="3" borderId="91" xfId="4" applyNumberFormat="1" applyFont="1" applyFill="1" applyBorder="1" applyAlignment="1">
      <alignment horizontal="center"/>
    </xf>
    <xf numFmtId="0" fontId="13" fillId="3" borderId="94" xfId="3" applyFont="1" applyFill="1" applyBorder="1" applyAlignment="1">
      <alignment horizontal="center"/>
    </xf>
    <xf numFmtId="167" fontId="13" fillId="3" borderId="95" xfId="5" applyNumberFormat="1" applyFont="1" applyFill="1" applyBorder="1" applyAlignment="1">
      <alignment vertical="center" wrapText="1"/>
    </xf>
    <xf numFmtId="10" fontId="13" fillId="3" borderId="96" xfId="4" applyNumberFormat="1" applyFont="1" applyFill="1" applyBorder="1" applyAlignment="1">
      <alignment horizontal="center"/>
    </xf>
    <xf numFmtId="0" fontId="13" fillId="3" borderId="97" xfId="3" applyFont="1" applyFill="1" applyBorder="1" applyAlignment="1">
      <alignment horizontal="center"/>
    </xf>
    <xf numFmtId="0" fontId="13" fillId="3" borderId="98" xfId="3" applyFont="1" applyFill="1" applyBorder="1"/>
    <xf numFmtId="0" fontId="13" fillId="3" borderId="96" xfId="3" applyFont="1" applyFill="1" applyBorder="1"/>
    <xf numFmtId="169" fontId="13" fillId="3" borderId="96" xfId="4" applyNumberFormat="1" applyFont="1" applyFill="1" applyBorder="1" applyAlignment="1">
      <alignment horizontal="center"/>
    </xf>
    <xf numFmtId="167" fontId="13" fillId="3" borderId="2" xfId="5" applyNumberFormat="1" applyFont="1" applyFill="1" applyBorder="1" applyAlignment="1">
      <alignment vertical="center" wrapText="1"/>
    </xf>
    <xf numFmtId="14" fontId="13" fillId="3" borderId="98" xfId="3" applyNumberFormat="1" applyFont="1" applyFill="1" applyBorder="1" applyAlignment="1">
      <alignment horizontal="center"/>
    </xf>
    <xf numFmtId="10" fontId="13" fillId="3" borderId="96" xfId="3" applyNumberFormat="1" applyFont="1" applyFill="1" applyBorder="1" applyAlignment="1">
      <alignment horizontal="center"/>
    </xf>
    <xf numFmtId="0" fontId="13" fillId="3" borderId="0" xfId="3" applyFont="1" applyFill="1" applyAlignment="1">
      <alignment vertical="center" wrapText="1"/>
    </xf>
    <xf numFmtId="0" fontId="13" fillId="3" borderId="0" xfId="3" applyFont="1" applyFill="1" applyBorder="1" applyAlignment="1">
      <alignment vertical="center" wrapText="1"/>
    </xf>
    <xf numFmtId="0" fontId="29" fillId="3" borderId="94" xfId="3" applyFont="1" applyFill="1" applyBorder="1" applyAlignment="1">
      <alignment horizontal="center"/>
    </xf>
    <xf numFmtId="167" fontId="29" fillId="3" borderId="95" xfId="5" applyNumberFormat="1" applyFont="1" applyFill="1" applyBorder="1"/>
    <xf numFmtId="10" fontId="29" fillId="16" borderId="96" xfId="3" applyNumberFormat="1" applyFont="1" applyFill="1" applyBorder="1" applyAlignment="1">
      <alignment horizontal="center"/>
    </xf>
    <xf numFmtId="0" fontId="29" fillId="16" borderId="97" xfId="3" applyFont="1" applyFill="1" applyBorder="1" applyAlignment="1">
      <alignment horizontal="center"/>
    </xf>
    <xf numFmtId="14" fontId="29" fillId="16" borderId="98" xfId="3" applyNumberFormat="1" applyFont="1" applyFill="1" applyBorder="1" applyAlignment="1">
      <alignment horizontal="center"/>
    </xf>
    <xf numFmtId="10" fontId="29" fillId="16" borderId="96" xfId="4" applyNumberFormat="1" applyFont="1" applyFill="1" applyBorder="1" applyAlignment="1">
      <alignment horizontal="center"/>
    </xf>
    <xf numFmtId="0" fontId="13" fillId="3" borderId="2" xfId="3" applyFont="1" applyFill="1" applyBorder="1" applyAlignment="1">
      <alignment vertical="center" wrapText="1"/>
    </xf>
    <xf numFmtId="10" fontId="29" fillId="3" borderId="96" xfId="3" applyNumberFormat="1" applyFont="1" applyFill="1" applyBorder="1" applyAlignment="1">
      <alignment horizontal="center"/>
    </xf>
    <xf numFmtId="0" fontId="29" fillId="3" borderId="97" xfId="3" applyFont="1" applyFill="1" applyBorder="1" applyAlignment="1">
      <alignment horizontal="center"/>
    </xf>
    <xf numFmtId="14" fontId="29" fillId="3" borderId="98" xfId="3" applyNumberFormat="1" applyFont="1" applyFill="1" applyBorder="1" applyAlignment="1">
      <alignment horizontal="center"/>
    </xf>
    <xf numFmtId="10" fontId="29" fillId="3" borderId="96" xfId="4" applyNumberFormat="1" applyFont="1" applyFill="1" applyBorder="1" applyAlignment="1">
      <alignment horizontal="center"/>
    </xf>
    <xf numFmtId="0" fontId="29" fillId="3" borderId="95" xfId="3" applyFont="1" applyFill="1" applyBorder="1"/>
    <xf numFmtId="0" fontId="29" fillId="3" borderId="99" xfId="3" applyFont="1" applyFill="1" applyBorder="1" applyAlignment="1">
      <alignment horizontal="center"/>
    </xf>
    <xf numFmtId="0" fontId="29" fillId="3" borderId="100" xfId="3" applyFont="1" applyFill="1" applyBorder="1"/>
    <xf numFmtId="10" fontId="29" fillId="3" borderId="85" xfId="3" applyNumberFormat="1" applyFont="1" applyFill="1" applyBorder="1" applyAlignment="1">
      <alignment horizontal="center"/>
    </xf>
    <xf numFmtId="0" fontId="29" fillId="3" borderId="101" xfId="3" applyFont="1" applyFill="1" applyBorder="1" applyAlignment="1">
      <alignment horizontal="center"/>
    </xf>
    <xf numFmtId="14" fontId="29" fillId="3" borderId="102" xfId="3" applyNumberFormat="1" applyFont="1" applyFill="1" applyBorder="1" applyAlignment="1">
      <alignment horizontal="center"/>
    </xf>
    <xf numFmtId="10" fontId="29" fillId="3" borderId="85" xfId="4" applyNumberFormat="1" applyFont="1" applyFill="1" applyBorder="1" applyAlignment="1">
      <alignment horizontal="center"/>
    </xf>
    <xf numFmtId="0" fontId="10" fillId="3" borderId="77" xfId="3" applyFont="1" applyFill="1" applyBorder="1" applyAlignment="1">
      <alignment horizontal="center" vertical="center" wrapText="1"/>
    </xf>
    <xf numFmtId="0" fontId="10" fillId="3" borderId="103" xfId="3" applyFont="1" applyFill="1" applyBorder="1" applyAlignment="1">
      <alignment horizontal="center" vertical="center" wrapText="1"/>
    </xf>
    <xf numFmtId="0" fontId="10" fillId="3" borderId="104" xfId="3" applyFont="1" applyFill="1" applyBorder="1" applyAlignment="1">
      <alignment horizontal="center" vertical="center" wrapText="1"/>
    </xf>
    <xf numFmtId="2" fontId="10" fillId="3" borderId="106" xfId="4" applyNumberFormat="1" applyFont="1" applyFill="1" applyBorder="1" applyAlignment="1">
      <alignment horizontal="center" vertical="center"/>
    </xf>
    <xf numFmtId="2" fontId="10" fillId="3" borderId="107" xfId="3" applyNumberFormat="1" applyFont="1" applyFill="1" applyBorder="1" applyAlignment="1">
      <alignment horizontal="center" vertical="center"/>
    </xf>
    <xf numFmtId="2" fontId="10" fillId="3" borderId="108" xfId="3" applyNumberFormat="1" applyFont="1" applyFill="1" applyBorder="1" applyAlignment="1">
      <alignment horizontal="center" vertical="center"/>
    </xf>
    <xf numFmtId="2" fontId="10" fillId="3" borderId="100" xfId="4" applyNumberFormat="1" applyFont="1" applyFill="1" applyBorder="1" applyAlignment="1">
      <alignment horizontal="center" vertical="center"/>
    </xf>
    <xf numFmtId="2" fontId="10" fillId="3" borderId="109" xfId="3" applyNumberFormat="1" applyFont="1" applyFill="1" applyBorder="1" applyAlignment="1">
      <alignment horizontal="center" vertical="center"/>
    </xf>
    <xf numFmtId="2" fontId="10" fillId="3" borderId="100" xfId="4" applyNumberFormat="1" applyFont="1" applyFill="1" applyBorder="1" applyAlignment="1">
      <alignment horizontal="center" vertical="center" wrapText="1"/>
    </xf>
    <xf numFmtId="2" fontId="10" fillId="3" borderId="110" xfId="4" applyNumberFormat="1" applyFont="1" applyFill="1" applyBorder="1" applyAlignment="1">
      <alignment horizontal="center" vertical="center" wrapText="1"/>
    </xf>
    <xf numFmtId="14" fontId="13" fillId="3" borderId="93" xfId="5" applyNumberFormat="1" applyFont="1" applyFill="1" applyBorder="1" applyAlignment="1">
      <alignment horizontal="center" vertical="center" wrapText="1"/>
    </xf>
    <xf numFmtId="164" fontId="13" fillId="3" borderId="90" xfId="5" applyNumberFormat="1" applyFont="1" applyFill="1" applyBorder="1"/>
    <xf numFmtId="164" fontId="13" fillId="3" borderId="111" xfId="5" applyNumberFormat="1" applyFont="1" applyFill="1" applyBorder="1"/>
    <xf numFmtId="169" fontId="13" fillId="3" borderId="112" xfId="4" applyNumberFormat="1" applyFont="1" applyFill="1" applyBorder="1" applyAlignment="1">
      <alignment horizontal="center"/>
    </xf>
    <xf numFmtId="169" fontId="13" fillId="3" borderId="111" xfId="4" applyNumberFormat="1" applyFont="1" applyFill="1" applyBorder="1" applyAlignment="1">
      <alignment horizontal="center"/>
    </xf>
    <xf numFmtId="169" fontId="13" fillId="3" borderId="113" xfId="4" applyNumberFormat="1" applyFont="1" applyFill="1" applyBorder="1" applyAlignment="1">
      <alignment horizontal="center"/>
    </xf>
    <xf numFmtId="164" fontId="13" fillId="3" borderId="90" xfId="5" applyFont="1" applyFill="1" applyBorder="1" applyAlignment="1">
      <alignment horizontal="center"/>
    </xf>
    <xf numFmtId="10" fontId="13" fillId="3" borderId="114" xfId="4" applyNumberFormat="1" applyFont="1" applyFill="1" applyBorder="1" applyAlignment="1">
      <alignment horizontal="center"/>
    </xf>
    <xf numFmtId="14" fontId="13" fillId="3" borderId="98" xfId="5" applyNumberFormat="1" applyFont="1" applyFill="1" applyBorder="1" applyAlignment="1">
      <alignment horizontal="center" vertical="center" wrapText="1"/>
    </xf>
    <xf numFmtId="164" fontId="13" fillId="3" borderId="95" xfId="5" applyNumberFormat="1" applyFont="1" applyFill="1" applyBorder="1"/>
    <xf numFmtId="164" fontId="13" fillId="3" borderId="115" xfId="5" applyNumberFormat="1" applyFont="1" applyFill="1" applyBorder="1"/>
    <xf numFmtId="169" fontId="13" fillId="3" borderId="116" xfId="4" applyNumberFormat="1" applyFont="1" applyFill="1" applyBorder="1" applyAlignment="1">
      <alignment horizontal="center"/>
    </xf>
    <xf numFmtId="169" fontId="13" fillId="3" borderId="115" xfId="4" applyNumberFormat="1" applyFont="1" applyFill="1" applyBorder="1" applyAlignment="1">
      <alignment horizontal="center"/>
    </xf>
    <xf numFmtId="169" fontId="13" fillId="3" borderId="117" xfId="4" applyNumberFormat="1" applyFont="1" applyFill="1" applyBorder="1" applyAlignment="1">
      <alignment horizontal="center"/>
    </xf>
    <xf numFmtId="164" fontId="13" fillId="3" borderId="95" xfId="5" applyFont="1" applyFill="1" applyBorder="1" applyAlignment="1">
      <alignment horizontal="center"/>
    </xf>
    <xf numFmtId="10" fontId="13" fillId="3" borderId="118" xfId="4" applyNumberFormat="1" applyFont="1" applyFill="1" applyBorder="1" applyAlignment="1">
      <alignment horizontal="center"/>
    </xf>
    <xf numFmtId="164" fontId="13" fillId="3" borderId="81" xfId="5" applyFont="1" applyFill="1" applyBorder="1"/>
    <xf numFmtId="14" fontId="13" fillId="3" borderId="98" xfId="5" applyNumberFormat="1" applyFont="1" applyFill="1" applyBorder="1" applyAlignment="1">
      <alignment horizontal="center"/>
    </xf>
    <xf numFmtId="10" fontId="13" fillId="3" borderId="118" xfId="3" applyNumberFormat="1" applyFont="1" applyFill="1" applyBorder="1" applyAlignment="1">
      <alignment horizontal="center"/>
    </xf>
    <xf numFmtId="0" fontId="29" fillId="3" borderId="0" xfId="3" applyFont="1" applyFill="1"/>
    <xf numFmtId="164" fontId="29" fillId="3" borderId="95" xfId="5" applyFont="1" applyFill="1" applyBorder="1" applyAlignment="1">
      <alignment horizontal="center"/>
    </xf>
    <xf numFmtId="10" fontId="29" fillId="3" borderId="118" xfId="3" applyNumberFormat="1" applyFont="1" applyFill="1" applyBorder="1" applyAlignment="1">
      <alignment horizontal="center"/>
    </xf>
    <xf numFmtId="10" fontId="29" fillId="3" borderId="118" xfId="4" applyNumberFormat="1" applyFont="1" applyFill="1" applyBorder="1" applyAlignment="1">
      <alignment horizontal="center"/>
    </xf>
    <xf numFmtId="10" fontId="29" fillId="0" borderId="118" xfId="3" applyNumberFormat="1" applyFont="1" applyFill="1" applyBorder="1" applyAlignment="1">
      <alignment horizontal="center"/>
    </xf>
    <xf numFmtId="14" fontId="29" fillId="3" borderId="98" xfId="5" applyNumberFormat="1" applyFont="1" applyFill="1" applyBorder="1" applyAlignment="1">
      <alignment horizontal="center"/>
    </xf>
    <xf numFmtId="164" fontId="29" fillId="3" borderId="95" xfId="5" applyNumberFormat="1" applyFont="1" applyFill="1" applyBorder="1"/>
    <xf numFmtId="164" fontId="29" fillId="3" borderId="115" xfId="5" applyNumberFormat="1" applyFont="1" applyFill="1" applyBorder="1"/>
    <xf numFmtId="169" fontId="29" fillId="3" borderId="116" xfId="4" applyNumberFormat="1" applyFont="1" applyFill="1" applyBorder="1" applyAlignment="1">
      <alignment horizontal="center"/>
    </xf>
    <xf numFmtId="169" fontId="29" fillId="3" borderId="115" xfId="4" applyNumberFormat="1" applyFont="1" applyFill="1" applyBorder="1" applyAlignment="1">
      <alignment horizontal="center"/>
    </xf>
    <xf numFmtId="169" fontId="29" fillId="3" borderId="117" xfId="4" applyNumberFormat="1" applyFont="1" applyFill="1" applyBorder="1" applyAlignment="1">
      <alignment horizontal="center"/>
    </xf>
    <xf numFmtId="164" fontId="29" fillId="3" borderId="100" xfId="5" applyNumberFormat="1" applyFont="1" applyFill="1" applyBorder="1"/>
    <xf numFmtId="164" fontId="29" fillId="3" borderId="107" xfId="5" applyNumberFormat="1" applyFont="1" applyFill="1" applyBorder="1"/>
    <xf numFmtId="169" fontId="29" fillId="3" borderId="106" xfId="4" applyNumberFormat="1" applyFont="1" applyFill="1" applyBorder="1" applyAlignment="1">
      <alignment horizontal="center"/>
    </xf>
    <xf numFmtId="169" fontId="29" fillId="3" borderId="107" xfId="4" applyNumberFormat="1" applyFont="1" applyFill="1" applyBorder="1" applyAlignment="1">
      <alignment horizontal="center"/>
    </xf>
    <xf numFmtId="169" fontId="29" fillId="3" borderId="109" xfId="4" applyNumberFormat="1" applyFont="1" applyFill="1" applyBorder="1" applyAlignment="1">
      <alignment horizontal="center"/>
    </xf>
    <xf numFmtId="164" fontId="29" fillId="3" borderId="100" xfId="5" applyFont="1" applyFill="1" applyBorder="1" applyAlignment="1">
      <alignment horizontal="center"/>
    </xf>
    <xf numFmtId="10" fontId="29" fillId="3" borderId="110" xfId="3" applyNumberFormat="1" applyFont="1" applyFill="1" applyBorder="1" applyAlignment="1">
      <alignment horizontal="center"/>
    </xf>
    <xf numFmtId="0" fontId="13" fillId="3" borderId="0" xfId="3" applyFont="1" applyFill="1" applyBorder="1" applyAlignment="1">
      <alignment horizontal="left" vertical="center" wrapText="1"/>
    </xf>
    <xf numFmtId="0" fontId="13" fillId="3" borderId="27" xfId="3" applyFont="1" applyFill="1" applyBorder="1" applyAlignment="1">
      <alignment horizontal="left" vertical="center" wrapText="1"/>
    </xf>
    <xf numFmtId="10" fontId="13" fillId="3" borderId="116" xfId="4" applyNumberFormat="1" applyFont="1" applyFill="1" applyBorder="1" applyAlignment="1">
      <alignment horizontal="center"/>
    </xf>
    <xf numFmtId="10" fontId="13" fillId="3" borderId="115" xfId="4" applyNumberFormat="1" applyFont="1" applyFill="1" applyBorder="1" applyAlignment="1">
      <alignment horizontal="center"/>
    </xf>
    <xf numFmtId="10" fontId="13" fillId="3" borderId="117" xfId="4" applyNumberFormat="1" applyFont="1" applyFill="1" applyBorder="1" applyAlignment="1">
      <alignment horizontal="center"/>
    </xf>
    <xf numFmtId="10" fontId="29" fillId="3" borderId="116" xfId="4" applyNumberFormat="1" applyFont="1" applyFill="1" applyBorder="1" applyAlignment="1">
      <alignment horizontal="center"/>
    </xf>
    <xf numFmtId="10" fontId="29" fillId="3" borderId="115" xfId="4" applyNumberFormat="1" applyFont="1" applyFill="1" applyBorder="1" applyAlignment="1">
      <alignment horizontal="center"/>
    </xf>
    <xf numFmtId="10" fontId="29" fillId="3" borderId="117" xfId="4" applyNumberFormat="1" applyFont="1" applyFill="1" applyBorder="1" applyAlignment="1">
      <alignment horizontal="center"/>
    </xf>
    <xf numFmtId="10" fontId="29" fillId="3" borderId="106" xfId="4" applyNumberFormat="1" applyFont="1" applyFill="1" applyBorder="1" applyAlignment="1">
      <alignment horizontal="center"/>
    </xf>
    <xf numFmtId="10" fontId="29" fillId="3" borderId="107" xfId="4" applyNumberFormat="1" applyFont="1" applyFill="1" applyBorder="1" applyAlignment="1">
      <alignment horizontal="center"/>
    </xf>
    <xf numFmtId="10" fontId="29" fillId="3" borderId="109" xfId="4" applyNumberFormat="1" applyFont="1" applyFill="1" applyBorder="1" applyAlignment="1">
      <alignment horizontal="center"/>
    </xf>
    <xf numFmtId="164" fontId="13" fillId="3" borderId="95" xfId="5" applyFont="1" applyFill="1" applyBorder="1"/>
    <xf numFmtId="164" fontId="13" fillId="3" borderId="115" xfId="3" applyNumberFormat="1" applyFont="1" applyFill="1" applyBorder="1"/>
    <xf numFmtId="164" fontId="13" fillId="3" borderId="120" xfId="3" applyNumberFormat="1" applyFont="1" applyFill="1" applyBorder="1"/>
    <xf numFmtId="164" fontId="13" fillId="3" borderId="95" xfId="3" applyNumberFormat="1" applyFont="1" applyFill="1" applyBorder="1"/>
    <xf numFmtId="169" fontId="13" fillId="3" borderId="95" xfId="4" applyNumberFormat="1" applyFont="1" applyFill="1" applyBorder="1" applyAlignment="1">
      <alignment horizontal="center"/>
    </xf>
    <xf numFmtId="169" fontId="13" fillId="3" borderId="120" xfId="4" applyNumberFormat="1" applyFont="1" applyFill="1" applyBorder="1" applyAlignment="1">
      <alignment horizontal="center"/>
    </xf>
    <xf numFmtId="4" fontId="13" fillId="3" borderId="0" xfId="4" applyNumberFormat="1" applyFont="1" applyFill="1"/>
    <xf numFmtId="10" fontId="13" fillId="3" borderId="0" xfId="4" applyNumberFormat="1" applyFont="1" applyFill="1"/>
    <xf numFmtId="4" fontId="13" fillId="3" borderId="0" xfId="3" applyNumberFormat="1" applyFont="1" applyFill="1"/>
    <xf numFmtId="164" fontId="29" fillId="3" borderId="95" xfId="3" applyNumberFormat="1" applyFont="1" applyFill="1" applyBorder="1"/>
    <xf numFmtId="164" fontId="29" fillId="3" borderId="115" xfId="3" applyNumberFormat="1" applyFont="1" applyFill="1" applyBorder="1"/>
    <xf numFmtId="164" fontId="29" fillId="3" borderId="120" xfId="3" applyNumberFormat="1" applyFont="1" applyFill="1" applyBorder="1"/>
    <xf numFmtId="169" fontId="29" fillId="3" borderId="95" xfId="4" applyNumberFormat="1" applyFont="1" applyFill="1" applyBorder="1" applyAlignment="1">
      <alignment horizontal="center"/>
    </xf>
    <xf numFmtId="169" fontId="29" fillId="3" borderId="120" xfId="4" applyNumberFormat="1" applyFont="1" applyFill="1" applyBorder="1" applyAlignment="1">
      <alignment horizontal="center"/>
    </xf>
    <xf numFmtId="164" fontId="29" fillId="3" borderId="100" xfId="3" applyNumberFormat="1" applyFont="1" applyFill="1" applyBorder="1"/>
    <xf numFmtId="164" fontId="29" fillId="3" borderId="107" xfId="3" applyNumberFormat="1" applyFont="1" applyFill="1" applyBorder="1"/>
    <xf numFmtId="164" fontId="29" fillId="3" borderId="108" xfId="3" applyNumberFormat="1" applyFont="1" applyFill="1" applyBorder="1"/>
    <xf numFmtId="169" fontId="29" fillId="3" borderId="100" xfId="4" applyNumberFormat="1" applyFont="1" applyFill="1" applyBorder="1" applyAlignment="1">
      <alignment horizontal="center"/>
    </xf>
    <xf numFmtId="169" fontId="29" fillId="3" borderId="108" xfId="4" applyNumberFormat="1" applyFont="1" applyFill="1" applyBorder="1" applyAlignment="1">
      <alignment horizontal="center"/>
    </xf>
    <xf numFmtId="0" fontId="13" fillId="3" borderId="0" xfId="3" applyFont="1" applyFill="1" applyAlignment="1">
      <alignment horizontal="center"/>
    </xf>
    <xf numFmtId="0" fontId="13" fillId="10" borderId="97" xfId="3" applyFont="1" applyFill="1" applyBorder="1" applyAlignment="1">
      <alignment horizontal="center"/>
    </xf>
    <xf numFmtId="168" fontId="13" fillId="10" borderId="95" xfId="5" applyNumberFormat="1" applyFont="1" applyFill="1" applyBorder="1"/>
    <xf numFmtId="168" fontId="13" fillId="10" borderId="115" xfId="3" applyNumberFormat="1" applyFont="1" applyFill="1" applyBorder="1"/>
    <xf numFmtId="168" fontId="13" fillId="10" borderId="120" xfId="3" applyNumberFormat="1" applyFont="1" applyFill="1" applyBorder="1"/>
    <xf numFmtId="168" fontId="13" fillId="10" borderId="116" xfId="4" applyNumberFormat="1" applyFont="1" applyFill="1" applyBorder="1" applyAlignment="1">
      <alignment horizontal="center"/>
    </xf>
    <xf numFmtId="168" fontId="13" fillId="10" borderId="115" xfId="4" applyNumberFormat="1" applyFont="1" applyFill="1" applyBorder="1" applyAlignment="1">
      <alignment horizontal="center"/>
    </xf>
    <xf numFmtId="168" fontId="13" fillId="10" borderId="117" xfId="4" applyNumberFormat="1" applyFont="1" applyFill="1" applyBorder="1" applyAlignment="1">
      <alignment horizontal="center"/>
    </xf>
    <xf numFmtId="0" fontId="29" fillId="10" borderId="97" xfId="3" applyFont="1" applyFill="1" applyBorder="1" applyAlignment="1">
      <alignment horizontal="center"/>
    </xf>
    <xf numFmtId="168" fontId="29" fillId="10" borderId="95" xfId="3" applyNumberFormat="1" applyFont="1" applyFill="1" applyBorder="1"/>
    <xf numFmtId="168" fontId="29" fillId="10" borderId="115" xfId="3" applyNumberFormat="1" applyFont="1" applyFill="1" applyBorder="1"/>
    <xf numFmtId="168" fontId="29" fillId="10" borderId="120" xfId="3" applyNumberFormat="1" applyFont="1" applyFill="1" applyBorder="1"/>
    <xf numFmtId="168" fontId="29" fillId="10" borderId="116" xfId="5" applyNumberFormat="1" applyFont="1" applyFill="1" applyBorder="1" applyAlignment="1">
      <alignment horizontal="center"/>
    </xf>
    <xf numFmtId="168" fontId="29" fillId="10" borderId="115" xfId="5" applyNumberFormat="1" applyFont="1" applyFill="1" applyBorder="1" applyAlignment="1">
      <alignment horizontal="center"/>
    </xf>
    <xf numFmtId="168" fontId="29" fillId="10" borderId="117" xfId="5" applyNumberFormat="1" applyFont="1" applyFill="1" applyBorder="1" applyAlignment="1">
      <alignment horizontal="center"/>
    </xf>
    <xf numFmtId="0" fontId="29" fillId="23" borderId="97" xfId="3" applyFont="1" applyFill="1" applyBorder="1" applyAlignment="1">
      <alignment horizontal="center"/>
    </xf>
    <xf numFmtId="168" fontId="29" fillId="23" borderId="95" xfId="3" applyNumberFormat="1" applyFont="1" applyFill="1" applyBorder="1"/>
    <xf numFmtId="168" fontId="29" fillId="23" borderId="115" xfId="3" applyNumberFormat="1" applyFont="1" applyFill="1" applyBorder="1"/>
    <xf numFmtId="168" fontId="29" fillId="23" borderId="120" xfId="3" applyNumberFormat="1" applyFont="1" applyFill="1" applyBorder="1"/>
    <xf numFmtId="168" fontId="29" fillId="23" borderId="116" xfId="5" applyNumberFormat="1" applyFont="1" applyFill="1" applyBorder="1" applyAlignment="1">
      <alignment horizontal="center"/>
    </xf>
    <xf numFmtId="168" fontId="29" fillId="23" borderId="115" xfId="5" applyNumberFormat="1" applyFont="1" applyFill="1" applyBorder="1" applyAlignment="1">
      <alignment horizontal="center"/>
    </xf>
    <xf numFmtId="168" fontId="29" fillId="23" borderId="117" xfId="5" applyNumberFormat="1" applyFont="1" applyFill="1" applyBorder="1" applyAlignment="1">
      <alignment horizontal="center"/>
    </xf>
    <xf numFmtId="168" fontId="29" fillId="3" borderId="95" xfId="3" applyNumberFormat="1" applyFont="1" applyFill="1" applyBorder="1"/>
    <xf numFmtId="168" fontId="29" fillId="3" borderId="115" xfId="3" applyNumberFormat="1" applyFont="1" applyFill="1" applyBorder="1"/>
    <xf numFmtId="168" fontId="29" fillId="3" borderId="120" xfId="3" applyNumberFormat="1" applyFont="1" applyFill="1" applyBorder="1"/>
    <xf numFmtId="168" fontId="29" fillId="3" borderId="116" xfId="5" applyNumberFormat="1" applyFont="1" applyFill="1" applyBorder="1" applyAlignment="1">
      <alignment horizontal="center"/>
    </xf>
    <xf numFmtId="168" fontId="29" fillId="3" borderId="115" xfId="5" applyNumberFormat="1" applyFont="1" applyFill="1" applyBorder="1" applyAlignment="1">
      <alignment horizontal="center"/>
    </xf>
    <xf numFmtId="168" fontId="29" fillId="3" borderId="117" xfId="5" applyNumberFormat="1" applyFont="1" applyFill="1" applyBorder="1" applyAlignment="1">
      <alignment horizontal="center"/>
    </xf>
    <xf numFmtId="168" fontId="29" fillId="3" borderId="100" xfId="3" applyNumberFormat="1" applyFont="1" applyFill="1" applyBorder="1"/>
    <xf numFmtId="168" fontId="29" fillId="3" borderId="107" xfId="3" applyNumberFormat="1" applyFont="1" applyFill="1" applyBorder="1"/>
    <xf numFmtId="168" fontId="29" fillId="3" borderId="108" xfId="3" applyNumberFormat="1" applyFont="1" applyFill="1" applyBorder="1"/>
    <xf numFmtId="168" fontId="29" fillId="3" borderId="106" xfId="5" applyNumberFormat="1" applyFont="1" applyFill="1" applyBorder="1" applyAlignment="1">
      <alignment horizontal="center"/>
    </xf>
    <xf numFmtId="168" fontId="29" fillId="3" borderId="107" xfId="5" applyNumberFormat="1" applyFont="1" applyFill="1" applyBorder="1" applyAlignment="1">
      <alignment horizontal="center"/>
    </xf>
    <xf numFmtId="168" fontId="29" fillId="3" borderId="109" xfId="5" applyNumberFormat="1" applyFont="1" applyFill="1" applyBorder="1" applyAlignment="1">
      <alignment horizontal="center"/>
    </xf>
    <xf numFmtId="176" fontId="13" fillId="3" borderId="0" xfId="3" applyNumberFormat="1" applyFont="1" applyFill="1"/>
    <xf numFmtId="0" fontId="13" fillId="10" borderId="0" xfId="3" applyFont="1" applyFill="1"/>
    <xf numFmtId="0" fontId="13" fillId="23" borderId="0" xfId="3" applyFont="1" applyFill="1"/>
    <xf numFmtId="0" fontId="34" fillId="3" borderId="0" xfId="6" applyFont="1" applyFill="1"/>
    <xf numFmtId="0" fontId="35" fillId="3" borderId="0" xfId="6" applyFont="1" applyFill="1"/>
    <xf numFmtId="177" fontId="15" fillId="0" borderId="0" xfId="6" applyNumberFormat="1" applyFont="1"/>
    <xf numFmtId="0" fontId="35" fillId="3" borderId="0" xfId="6" applyFont="1" applyFill="1" applyAlignment="1">
      <alignment vertical="center"/>
    </xf>
    <xf numFmtId="2" fontId="32" fillId="3" borderId="100" xfId="4" applyNumberFormat="1" applyFont="1" applyFill="1" applyBorder="1" applyAlignment="1">
      <alignment horizontal="center" vertical="center"/>
    </xf>
    <xf numFmtId="2" fontId="32" fillId="3" borderId="107" xfId="6" applyNumberFormat="1" applyFont="1" applyFill="1" applyBorder="1" applyAlignment="1">
      <alignment horizontal="center" vertical="center"/>
    </xf>
    <xf numFmtId="2" fontId="32" fillId="3" borderId="107" xfId="6" applyNumberFormat="1" applyFont="1" applyFill="1" applyBorder="1" applyAlignment="1">
      <alignment horizontal="center" vertical="center" wrapText="1"/>
    </xf>
    <xf numFmtId="2" fontId="32" fillId="3" borderId="108" xfId="6" applyNumberFormat="1" applyFont="1" applyFill="1" applyBorder="1" applyAlignment="1">
      <alignment horizontal="center" vertical="center"/>
    </xf>
    <xf numFmtId="2" fontId="32" fillId="3" borderId="107" xfId="4" applyNumberFormat="1" applyFont="1" applyFill="1" applyBorder="1" applyAlignment="1">
      <alignment horizontal="center" vertical="center"/>
    </xf>
    <xf numFmtId="2" fontId="32" fillId="3" borderId="107" xfId="4" applyNumberFormat="1" applyFont="1" applyFill="1" applyBorder="1" applyAlignment="1">
      <alignment horizontal="center" vertical="center" wrapText="1"/>
    </xf>
    <xf numFmtId="2" fontId="32" fillId="3" borderId="108" xfId="4" applyNumberFormat="1" applyFont="1" applyFill="1" applyBorder="1" applyAlignment="1">
      <alignment horizontal="center" vertical="center"/>
    </xf>
    <xf numFmtId="2" fontId="32" fillId="3" borderId="106" xfId="4" applyNumberFormat="1" applyFont="1" applyFill="1" applyBorder="1" applyAlignment="1">
      <alignment horizontal="center" vertical="center"/>
    </xf>
    <xf numFmtId="2" fontId="32" fillId="3" borderId="109" xfId="4" applyNumberFormat="1" applyFont="1" applyFill="1" applyBorder="1" applyAlignment="1">
      <alignment horizontal="center" vertical="center"/>
    </xf>
    <xf numFmtId="0" fontId="35" fillId="3" borderId="121" xfId="6" applyFont="1" applyFill="1" applyBorder="1" applyAlignment="1">
      <alignment horizontal="center"/>
    </xf>
    <xf numFmtId="166" fontId="35" fillId="3" borderId="122" xfId="5" applyNumberFormat="1" applyFont="1" applyFill="1" applyBorder="1"/>
    <xf numFmtId="166" fontId="35" fillId="3" borderId="123" xfId="5" applyNumberFormat="1" applyFont="1" applyFill="1" applyBorder="1"/>
    <xf numFmtId="166" fontId="35" fillId="3" borderId="124" xfId="5" applyNumberFormat="1" applyFont="1" applyFill="1" applyBorder="1"/>
    <xf numFmtId="172" fontId="36" fillId="3" borderId="122" xfId="6" applyNumberFormat="1" applyFont="1" applyFill="1" applyBorder="1"/>
    <xf numFmtId="172" fontId="36" fillId="3" borderId="123" xfId="6" applyNumberFormat="1" applyFont="1" applyFill="1" applyBorder="1"/>
    <xf numFmtId="172" fontId="36" fillId="3" borderId="124" xfId="6" applyNumberFormat="1" applyFont="1" applyFill="1" applyBorder="1"/>
    <xf numFmtId="0" fontId="35" fillId="3" borderId="125" xfId="6" applyFont="1" applyFill="1" applyBorder="1"/>
    <xf numFmtId="0" fontId="35" fillId="3" borderId="123" xfId="6" applyFont="1" applyFill="1" applyBorder="1"/>
    <xf numFmtId="0" fontId="35" fillId="3" borderId="126" xfId="6" applyFont="1" applyFill="1" applyBorder="1"/>
    <xf numFmtId="0" fontId="35" fillId="3" borderId="94" xfId="6" applyFont="1" applyFill="1" applyBorder="1" applyAlignment="1">
      <alignment horizontal="center"/>
    </xf>
    <xf numFmtId="166" fontId="35" fillId="3" borderId="95" xfId="5" applyNumberFormat="1" applyFont="1" applyFill="1" applyBorder="1"/>
    <xf numFmtId="166" fontId="35" fillId="3" borderId="115" xfId="5" applyNumberFormat="1" applyFont="1" applyFill="1" applyBorder="1"/>
    <xf numFmtId="166" fontId="35" fillId="3" borderId="120" xfId="5" applyNumberFormat="1" applyFont="1" applyFill="1" applyBorder="1"/>
    <xf numFmtId="169" fontId="35" fillId="3" borderId="95" xfId="4" applyNumberFormat="1" applyFont="1" applyFill="1" applyBorder="1" applyAlignment="1">
      <alignment horizontal="center"/>
    </xf>
    <xf numFmtId="169" fontId="35" fillId="3" borderId="115" xfId="4" applyNumberFormat="1" applyFont="1" applyFill="1" applyBorder="1" applyAlignment="1">
      <alignment horizontal="center"/>
    </xf>
    <xf numFmtId="169" fontId="35" fillId="3" borderId="120" xfId="4" applyNumberFormat="1" applyFont="1" applyFill="1" applyBorder="1" applyAlignment="1">
      <alignment horizontal="center"/>
    </xf>
    <xf numFmtId="169" fontId="35" fillId="3" borderId="116" xfId="4" applyNumberFormat="1" applyFont="1" applyFill="1" applyBorder="1" applyAlignment="1">
      <alignment horizontal="center"/>
    </xf>
    <xf numFmtId="169" fontId="35" fillId="3" borderId="117" xfId="4" applyNumberFormat="1" applyFont="1" applyFill="1" applyBorder="1" applyAlignment="1">
      <alignment horizontal="center"/>
    </xf>
    <xf numFmtId="0" fontId="37" fillId="3" borderId="94" xfId="6" applyFont="1" applyFill="1" applyBorder="1" applyAlignment="1">
      <alignment horizontal="center"/>
    </xf>
    <xf numFmtId="166" fontId="37" fillId="3" borderId="95" xfId="5" applyNumberFormat="1" applyFont="1" applyFill="1" applyBorder="1"/>
    <xf numFmtId="166" fontId="37" fillId="3" borderId="115" xfId="5" applyNumberFormat="1" applyFont="1" applyFill="1" applyBorder="1"/>
    <xf numFmtId="166" fontId="37" fillId="3" borderId="120" xfId="5" applyNumberFormat="1" applyFont="1" applyFill="1" applyBorder="1"/>
    <xf numFmtId="169" fontId="37" fillId="3" borderId="95" xfId="4" applyNumberFormat="1" applyFont="1" applyFill="1" applyBorder="1" applyAlignment="1">
      <alignment horizontal="center"/>
    </xf>
    <xf numFmtId="169" fontId="37" fillId="3" borderId="115" xfId="4" applyNumberFormat="1" applyFont="1" applyFill="1" applyBorder="1" applyAlignment="1">
      <alignment horizontal="center"/>
    </xf>
    <xf numFmtId="169" fontId="37" fillId="3" borderId="120" xfId="4" applyNumberFormat="1" applyFont="1" applyFill="1" applyBorder="1" applyAlignment="1">
      <alignment horizontal="center"/>
    </xf>
    <xf numFmtId="169" fontId="37" fillId="3" borderId="116" xfId="4" applyNumberFormat="1" applyFont="1" applyFill="1" applyBorder="1" applyAlignment="1">
      <alignment horizontal="center"/>
    </xf>
    <xf numFmtId="169" fontId="37" fillId="3" borderId="117" xfId="4" applyNumberFormat="1" applyFont="1" applyFill="1" applyBorder="1" applyAlignment="1">
      <alignment horizontal="center"/>
    </xf>
    <xf numFmtId="0" fontId="37" fillId="3" borderId="99" xfId="6" applyFont="1" applyFill="1" applyBorder="1" applyAlignment="1">
      <alignment horizontal="center"/>
    </xf>
    <xf numFmtId="166" fontId="37" fillId="3" borderId="100" xfId="5" applyNumberFormat="1" applyFont="1" applyFill="1" applyBorder="1"/>
    <xf numFmtId="166" fontId="37" fillId="3" borderId="107" xfId="5" applyNumberFormat="1" applyFont="1" applyFill="1" applyBorder="1"/>
    <xf numFmtId="166" fontId="37" fillId="3" borderId="108" xfId="5" applyNumberFormat="1" applyFont="1" applyFill="1" applyBorder="1"/>
    <xf numFmtId="169" fontId="37" fillId="3" borderId="100" xfId="4" applyNumberFormat="1" applyFont="1" applyFill="1" applyBorder="1" applyAlignment="1">
      <alignment horizontal="center"/>
    </xf>
    <xf numFmtId="169" fontId="37" fillId="3" borderId="107" xfId="4" applyNumberFormat="1" applyFont="1" applyFill="1" applyBorder="1" applyAlignment="1">
      <alignment horizontal="center"/>
    </xf>
    <xf numFmtId="169" fontId="37" fillId="3" borderId="108" xfId="4" applyNumberFormat="1" applyFont="1" applyFill="1" applyBorder="1" applyAlignment="1">
      <alignment horizontal="center"/>
    </xf>
    <xf numFmtId="169" fontId="37" fillId="3" borderId="106" xfId="4" applyNumberFormat="1" applyFont="1" applyFill="1" applyBorder="1" applyAlignment="1">
      <alignment horizontal="center"/>
    </xf>
    <xf numFmtId="169" fontId="37" fillId="3" borderId="109" xfId="4" applyNumberFormat="1" applyFont="1" applyFill="1" applyBorder="1" applyAlignment="1">
      <alignment horizontal="center"/>
    </xf>
    <xf numFmtId="4" fontId="38" fillId="3" borderId="0" xfId="4" applyNumberFormat="1" applyFont="1" applyFill="1"/>
    <xf numFmtId="165" fontId="38" fillId="3" borderId="0" xfId="6" applyNumberFormat="1" applyFont="1" applyFill="1"/>
    <xf numFmtId="0" fontId="30" fillId="3" borderId="0" xfId="6" applyFont="1" applyFill="1"/>
    <xf numFmtId="0" fontId="13" fillId="3" borderId="0" xfId="6" applyFont="1" applyFill="1"/>
    <xf numFmtId="0" fontId="33" fillId="3" borderId="0" xfId="6" applyFill="1"/>
    <xf numFmtId="2" fontId="10" fillId="3" borderId="107" xfId="6" applyNumberFormat="1" applyFont="1" applyFill="1" applyBorder="1" applyAlignment="1">
      <alignment horizontal="center" vertical="center"/>
    </xf>
    <xf numFmtId="2" fontId="10" fillId="3" borderId="108" xfId="6" applyNumberFormat="1" applyFont="1" applyFill="1" applyBorder="1" applyAlignment="1">
      <alignment horizontal="center" vertical="center"/>
    </xf>
    <xf numFmtId="2" fontId="10" fillId="3" borderId="109" xfId="6" applyNumberFormat="1" applyFont="1" applyFill="1" applyBorder="1" applyAlignment="1">
      <alignment horizontal="center" vertical="center"/>
    </xf>
    <xf numFmtId="0" fontId="33" fillId="3" borderId="97" xfId="6" applyFill="1" applyBorder="1" applyAlignment="1">
      <alignment horizontal="center"/>
    </xf>
    <xf numFmtId="164" fontId="0" fillId="3" borderId="95" xfId="5" applyFont="1" applyFill="1" applyBorder="1"/>
    <xf numFmtId="164" fontId="33" fillId="3" borderId="115" xfId="6" applyNumberFormat="1" applyFill="1" applyBorder="1"/>
    <xf numFmtId="164" fontId="33" fillId="3" borderId="120" xfId="6" applyNumberFormat="1" applyFill="1" applyBorder="1"/>
    <xf numFmtId="164" fontId="33" fillId="3" borderId="95" xfId="6" applyNumberFormat="1" applyFill="1" applyBorder="1"/>
    <xf numFmtId="169" fontId="15" fillId="3" borderId="95" xfId="4" applyNumberFormat="1" applyFont="1" applyFill="1" applyBorder="1" applyAlignment="1">
      <alignment horizontal="center"/>
    </xf>
    <xf numFmtId="169" fontId="15" fillId="3" borderId="115" xfId="4" applyNumberFormat="1" applyFont="1" applyFill="1" applyBorder="1" applyAlignment="1">
      <alignment horizontal="center"/>
    </xf>
    <xf numFmtId="169" fontId="15" fillId="3" borderId="120" xfId="4" applyNumberFormat="1" applyFont="1" applyFill="1" applyBorder="1" applyAlignment="1">
      <alignment horizontal="center"/>
    </xf>
    <xf numFmtId="169" fontId="15" fillId="3" borderId="116" xfId="4" applyNumberFormat="1" applyFont="1" applyFill="1" applyBorder="1" applyAlignment="1">
      <alignment horizontal="center"/>
    </xf>
    <xf numFmtId="169" fontId="15" fillId="3" borderId="117" xfId="4" applyNumberFormat="1" applyFont="1" applyFill="1" applyBorder="1" applyAlignment="1">
      <alignment horizontal="center"/>
    </xf>
    <xf numFmtId="4" fontId="15" fillId="3" borderId="0" xfId="4" applyNumberFormat="1" applyFont="1" applyFill="1"/>
    <xf numFmtId="4" fontId="15" fillId="3" borderId="0" xfId="6" applyNumberFormat="1" applyFont="1" applyFill="1"/>
    <xf numFmtId="0" fontId="15" fillId="3" borderId="97" xfId="6" applyFont="1" applyFill="1" applyBorder="1" applyAlignment="1">
      <alignment horizontal="center"/>
    </xf>
    <xf numFmtId="164" fontId="15" fillId="3" borderId="115" xfId="6" applyNumberFormat="1" applyFont="1" applyFill="1" applyBorder="1"/>
    <xf numFmtId="164" fontId="15" fillId="3" borderId="120" xfId="6" applyNumberFormat="1" applyFont="1" applyFill="1" applyBorder="1"/>
    <xf numFmtId="164" fontId="15" fillId="3" borderId="95" xfId="6" applyNumberFormat="1" applyFont="1" applyFill="1" applyBorder="1"/>
    <xf numFmtId="164" fontId="15" fillId="3" borderId="95" xfId="5" applyFont="1" applyFill="1" applyBorder="1"/>
    <xf numFmtId="0" fontId="39" fillId="3" borderId="97" xfId="6" applyFont="1" applyFill="1" applyBorder="1" applyAlignment="1">
      <alignment horizontal="center"/>
    </xf>
    <xf numFmtId="164" fontId="39" fillId="3" borderId="95" xfId="6" applyNumberFormat="1" applyFont="1" applyFill="1" applyBorder="1"/>
    <xf numFmtId="164" fontId="39" fillId="3" borderId="115" xfId="6" applyNumberFormat="1" applyFont="1" applyFill="1" applyBorder="1"/>
    <xf numFmtId="164" fontId="39" fillId="3" borderId="120" xfId="6" applyNumberFormat="1" applyFont="1" applyFill="1" applyBorder="1"/>
    <xf numFmtId="169" fontId="39" fillId="3" borderId="95" xfId="4" applyNumberFormat="1" applyFont="1" applyFill="1" applyBorder="1" applyAlignment="1">
      <alignment horizontal="center"/>
    </xf>
    <xf numFmtId="169" fontId="39" fillId="3" borderId="115" xfId="4" applyNumberFormat="1" applyFont="1" applyFill="1" applyBorder="1" applyAlignment="1">
      <alignment horizontal="center"/>
    </xf>
    <xf numFmtId="169" fontId="39" fillId="3" borderId="120" xfId="4" applyNumberFormat="1" applyFont="1" applyFill="1" applyBorder="1" applyAlignment="1">
      <alignment horizontal="center"/>
    </xf>
    <xf numFmtId="169" fontId="39" fillId="3" borderId="116" xfId="4" applyNumberFormat="1" applyFont="1" applyFill="1" applyBorder="1" applyAlignment="1">
      <alignment horizontal="center"/>
    </xf>
    <xf numFmtId="169" fontId="39" fillId="3" borderId="117" xfId="4" applyNumberFormat="1" applyFont="1" applyFill="1" applyBorder="1" applyAlignment="1">
      <alignment horizontal="center"/>
    </xf>
    <xf numFmtId="0" fontId="39" fillId="3" borderId="101" xfId="6" applyFont="1" applyFill="1" applyBorder="1" applyAlignment="1">
      <alignment horizontal="center"/>
    </xf>
    <xf numFmtId="164" fontId="39" fillId="3" borderId="100" xfId="6" applyNumberFormat="1" applyFont="1" applyFill="1" applyBorder="1"/>
    <xf numFmtId="164" fontId="39" fillId="3" borderId="107" xfId="6" applyNumberFormat="1" applyFont="1" applyFill="1" applyBorder="1"/>
    <xf numFmtId="164" fontId="39" fillId="3" borderId="108" xfId="6" applyNumberFormat="1" applyFont="1" applyFill="1" applyBorder="1"/>
    <xf numFmtId="169" fontId="39" fillId="3" borderId="100" xfId="4" applyNumberFormat="1" applyFont="1" applyFill="1" applyBorder="1" applyAlignment="1">
      <alignment horizontal="center"/>
    </xf>
    <xf numFmtId="169" fontId="39" fillId="3" borderId="107" xfId="4" applyNumberFormat="1" applyFont="1" applyFill="1" applyBorder="1" applyAlignment="1">
      <alignment horizontal="center"/>
    </xf>
    <xf numFmtId="169" fontId="39" fillId="3" borderId="108" xfId="4" applyNumberFormat="1" applyFont="1" applyFill="1" applyBorder="1" applyAlignment="1">
      <alignment horizontal="center"/>
    </xf>
    <xf numFmtId="169" fontId="39" fillId="3" borderId="106" xfId="4" applyNumberFormat="1" applyFont="1" applyFill="1" applyBorder="1" applyAlignment="1">
      <alignment horizontal="center"/>
    </xf>
    <xf numFmtId="169" fontId="39" fillId="3" borderId="109" xfId="4" applyNumberFormat="1" applyFont="1" applyFill="1" applyBorder="1" applyAlignment="1">
      <alignment horizontal="center"/>
    </xf>
    <xf numFmtId="0" fontId="33" fillId="3" borderId="0" xfId="6" applyFill="1" applyAlignment="1">
      <alignment horizontal="center"/>
    </xf>
    <xf numFmtId="0" fontId="13" fillId="3" borderId="129" xfId="3" applyFont="1" applyFill="1" applyBorder="1" applyAlignment="1">
      <alignment horizontal="center"/>
    </xf>
    <xf numFmtId="164" fontId="13" fillId="3" borderId="122" xfId="5" applyFont="1" applyFill="1" applyBorder="1"/>
    <xf numFmtId="164" fontId="13" fillId="3" borderId="123" xfId="3" applyNumberFormat="1" applyFont="1" applyFill="1" applyBorder="1"/>
    <xf numFmtId="164" fontId="13" fillId="3" borderId="111" xfId="3" applyNumberFormat="1" applyFont="1" applyFill="1" applyBorder="1"/>
    <xf numFmtId="164" fontId="13" fillId="3" borderId="122" xfId="3" applyNumberFormat="1" applyFont="1" applyFill="1" applyBorder="1"/>
    <xf numFmtId="169" fontId="13" fillId="3" borderId="122" xfId="4" applyNumberFormat="1" applyFont="1" applyFill="1" applyBorder="1" applyAlignment="1">
      <alignment horizontal="center"/>
    </xf>
    <xf numFmtId="169" fontId="13" fillId="3" borderId="123" xfId="4" applyNumberFormat="1" applyFont="1" applyFill="1" applyBorder="1" applyAlignment="1">
      <alignment horizontal="center"/>
    </xf>
    <xf numFmtId="4" fontId="13" fillId="3" borderId="122" xfId="4" applyNumberFormat="1" applyFont="1" applyFill="1" applyBorder="1"/>
    <xf numFmtId="4" fontId="13" fillId="3" borderId="123" xfId="4" applyNumberFormat="1" applyFont="1" applyFill="1" applyBorder="1"/>
    <xf numFmtId="4" fontId="13" fillId="3" borderId="126" xfId="4" applyNumberFormat="1" applyFont="1" applyFill="1" applyBorder="1"/>
    <xf numFmtId="0" fontId="13" fillId="3" borderId="89" xfId="6" applyFont="1" applyFill="1" applyBorder="1" applyAlignment="1">
      <alignment horizontal="center"/>
    </xf>
    <xf numFmtId="168" fontId="13" fillId="3" borderId="90" xfId="5" applyNumberFormat="1" applyFont="1" applyFill="1" applyBorder="1"/>
    <xf numFmtId="168" fontId="13" fillId="3" borderId="111" xfId="5" applyNumberFormat="1" applyFont="1" applyFill="1" applyBorder="1"/>
    <xf numFmtId="168" fontId="13" fillId="3" borderId="119" xfId="5" applyNumberFormat="1" applyFont="1" applyFill="1" applyBorder="1"/>
    <xf numFmtId="10" fontId="13" fillId="3" borderId="112" xfId="4" applyNumberFormat="1" applyFont="1" applyFill="1" applyBorder="1" applyAlignment="1">
      <alignment horizontal="center"/>
    </xf>
    <xf numFmtId="10" fontId="13" fillId="3" borderId="111" xfId="4" applyNumberFormat="1" applyFont="1" applyFill="1" applyBorder="1" applyAlignment="1">
      <alignment horizontal="center"/>
    </xf>
    <xf numFmtId="10" fontId="13" fillId="3" borderId="113" xfId="4" applyNumberFormat="1" applyFont="1" applyFill="1" applyBorder="1" applyAlignment="1">
      <alignment horizontal="center"/>
    </xf>
    <xf numFmtId="0" fontId="13" fillId="3" borderId="94" xfId="6" applyFont="1" applyFill="1" applyBorder="1" applyAlignment="1">
      <alignment horizontal="center"/>
    </xf>
    <xf numFmtId="168" fontId="13" fillId="3" borderId="95" xfId="5" applyNumberFormat="1" applyFont="1" applyFill="1" applyBorder="1"/>
    <xf numFmtId="168" fontId="13" fillId="3" borderId="115" xfId="5" applyNumberFormat="1" applyFont="1" applyFill="1" applyBorder="1"/>
    <xf numFmtId="168" fontId="13" fillId="3" borderId="120" xfId="5" applyNumberFormat="1" applyFont="1" applyFill="1" applyBorder="1"/>
    <xf numFmtId="9" fontId="13" fillId="3" borderId="0" xfId="4" applyFont="1" applyFill="1" applyAlignment="1">
      <alignment horizontal="center"/>
    </xf>
    <xf numFmtId="0" fontId="29" fillId="3" borderId="94" xfId="6" applyFont="1" applyFill="1" applyBorder="1" applyAlignment="1">
      <alignment horizontal="center"/>
    </xf>
    <xf numFmtId="168" fontId="29" fillId="3" borderId="95" xfId="5" applyNumberFormat="1" applyFont="1" applyFill="1" applyBorder="1"/>
    <xf numFmtId="168" fontId="29" fillId="3" borderId="115" xfId="5" applyNumberFormat="1" applyFont="1" applyFill="1" applyBorder="1"/>
    <xf numFmtId="168" fontId="29" fillId="3" borderId="120" xfId="5" applyNumberFormat="1" applyFont="1" applyFill="1" applyBorder="1"/>
    <xf numFmtId="0" fontId="29" fillId="3" borderId="99" xfId="6" applyFont="1" applyFill="1" applyBorder="1" applyAlignment="1">
      <alignment horizontal="center"/>
    </xf>
    <xf numFmtId="168" fontId="29" fillId="3" borderId="100" xfId="5" applyNumberFormat="1" applyFont="1" applyFill="1" applyBorder="1"/>
    <xf numFmtId="168" fontId="29" fillId="3" borderId="107" xfId="5" applyNumberFormat="1" applyFont="1" applyFill="1" applyBorder="1"/>
    <xf numFmtId="168" fontId="29" fillId="3" borderId="108" xfId="5" applyNumberFormat="1" applyFont="1" applyFill="1" applyBorder="1"/>
    <xf numFmtId="0" fontId="0" fillId="17" borderId="11" xfId="0" applyFill="1" applyBorder="1"/>
    <xf numFmtId="0" fontId="0" fillId="3" borderId="0" xfId="0" quotePrefix="1" applyFill="1"/>
    <xf numFmtId="0" fontId="0" fillId="3" borderId="0" xfId="0" applyFill="1" applyBorder="1" applyAlignment="1">
      <alignment horizontal="right"/>
    </xf>
    <xf numFmtId="3" fontId="10" fillId="17" borderId="0" xfId="1" applyNumberFormat="1" applyFont="1" applyFill="1" applyBorder="1" applyAlignment="1">
      <alignment horizontal="left"/>
    </xf>
    <xf numFmtId="0" fontId="2" fillId="17" borderId="0" xfId="1" applyNumberFormat="1" applyFont="1" applyFill="1" applyBorder="1" applyAlignment="1">
      <alignment horizontal="left"/>
    </xf>
    <xf numFmtId="0" fontId="0" fillId="0" borderId="27" xfId="0" applyBorder="1"/>
    <xf numFmtId="10" fontId="2" fillId="0" borderId="2" xfId="2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9" fontId="1" fillId="0" borderId="0" xfId="2" applyNumberFormat="1" applyFont="1" applyBorder="1" applyAlignment="1">
      <alignment horizontal="center" vertical="center" wrapText="1"/>
    </xf>
    <xf numFmtId="10" fontId="1" fillId="0" borderId="0" xfId="2" applyNumberFormat="1" applyFont="1" applyBorder="1" applyAlignment="1">
      <alignment horizontal="center" vertical="center" wrapText="1"/>
    </xf>
    <xf numFmtId="10" fontId="1" fillId="16" borderId="0" xfId="2" applyNumberFormat="1" applyFont="1" applyFill="1" applyBorder="1" applyAlignment="1">
      <alignment horizontal="center" vertical="center" wrapText="1"/>
    </xf>
    <xf numFmtId="169" fontId="13" fillId="3" borderId="96" xfId="2" applyNumberFormat="1" applyFont="1" applyFill="1" applyBorder="1" applyAlignment="1">
      <alignment horizontal="center"/>
    </xf>
    <xf numFmtId="169" fontId="13" fillId="16" borderId="96" xfId="2" applyNumberFormat="1" applyFont="1" applyFill="1" applyBorder="1" applyAlignment="1">
      <alignment horizontal="center"/>
    </xf>
    <xf numFmtId="10" fontId="0" fillId="0" borderId="2" xfId="2" applyNumberFormat="1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horizontal="center" vertical="center" wrapText="1"/>
    </xf>
    <xf numFmtId="173" fontId="0" fillId="0" borderId="0" xfId="2" applyNumberFormat="1" applyFont="1" applyBorder="1" applyAlignment="1">
      <alignment horizontal="center" vertical="center" wrapText="1"/>
    </xf>
    <xf numFmtId="0" fontId="10" fillId="3" borderId="7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0" fontId="40" fillId="24" borderId="0" xfId="2" applyNumberFormat="1" applyFont="1" applyFill="1" applyBorder="1" applyAlignment="1">
      <alignment horizontal="center" vertical="center" wrapText="1"/>
    </xf>
    <xf numFmtId="10" fontId="40" fillId="24" borderId="0" xfId="2" applyNumberFormat="1" applyFont="1" applyFill="1" applyBorder="1" applyAlignment="1">
      <alignment horizontal="center"/>
    </xf>
    <xf numFmtId="166" fontId="11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2" fillId="0" borderId="0" xfId="2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72" fontId="13" fillId="0" borderId="0" xfId="0" applyNumberFormat="1" applyFont="1" applyBorder="1" applyAlignment="1">
      <alignment horizontal="center" vertical="center" wrapText="1"/>
    </xf>
    <xf numFmtId="172" fontId="13" fillId="0" borderId="0" xfId="0" applyNumberFormat="1" applyFont="1" applyBorder="1" applyAlignment="1">
      <alignment horizontal="center"/>
    </xf>
    <xf numFmtId="165" fontId="13" fillId="3" borderId="0" xfId="7" applyNumberFormat="1" applyFont="1" applyFill="1" applyBorder="1" applyAlignment="1">
      <alignment horizontal="center"/>
    </xf>
    <xf numFmtId="165" fontId="13" fillId="3" borderId="0" xfId="2" applyNumberFormat="1" applyFont="1" applyFill="1" applyBorder="1" applyAlignment="1">
      <alignment horizontal="center"/>
    </xf>
    <xf numFmtId="172" fontId="0" fillId="0" borderId="0" xfId="0" applyNumberFormat="1" applyFont="1" applyBorder="1" applyAlignment="1">
      <alignment horizontal="center" vertical="center" wrapText="1"/>
    </xf>
    <xf numFmtId="172" fontId="0" fillId="0" borderId="0" xfId="0" applyNumberFormat="1" applyFont="1" applyAlignment="1">
      <alignment horizontal="center"/>
    </xf>
    <xf numFmtId="166" fontId="0" fillId="0" borderId="0" xfId="1" applyNumberFormat="1" applyFont="1" applyBorder="1"/>
    <xf numFmtId="10" fontId="0" fillId="3" borderId="0" xfId="2" applyNumberFormat="1" applyFont="1" applyFill="1" applyBorder="1" applyAlignment="1">
      <alignment horizontal="center" vertical="center" wrapText="1"/>
    </xf>
    <xf numFmtId="10" fontId="13" fillId="3" borderId="2" xfId="2" applyNumberFormat="1" applyFont="1" applyFill="1" applyBorder="1" applyAlignment="1">
      <alignment horizontal="center" vertical="center" wrapText="1"/>
    </xf>
    <xf numFmtId="10" fontId="1" fillId="3" borderId="0" xfId="2" applyNumberFormat="1" applyFont="1" applyFill="1" applyBorder="1" applyAlignment="1">
      <alignment horizontal="center" vertical="center" wrapText="1"/>
    </xf>
    <xf numFmtId="10" fontId="1" fillId="0" borderId="0" xfId="2" applyNumberFormat="1" applyFont="1" applyFill="1" applyBorder="1" applyAlignment="1">
      <alignment horizontal="center" vertical="top"/>
    </xf>
    <xf numFmtId="10" fontId="1" fillId="0" borderId="0" xfId="2" applyNumberFormat="1" applyFont="1" applyFill="1" applyBorder="1" applyAlignment="1">
      <alignment horizontal="center" vertical="center"/>
    </xf>
    <xf numFmtId="10" fontId="1" fillId="0" borderId="2" xfId="2" applyNumberFormat="1" applyFont="1" applyFill="1" applyBorder="1" applyAlignment="1">
      <alignment horizontal="center" vertical="top"/>
    </xf>
    <xf numFmtId="10" fontId="1" fillId="0" borderId="2" xfId="2" applyNumberFormat="1" applyFont="1" applyFill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173" fontId="0" fillId="0" borderId="0" xfId="0" applyNumberFormat="1" applyFont="1" applyBorder="1" applyAlignment="1">
      <alignment horizontal="center" vertical="center" wrapText="1"/>
    </xf>
    <xf numFmtId="10" fontId="1" fillId="0" borderId="0" xfId="2" applyNumberFormat="1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 wrapText="1"/>
    </xf>
    <xf numFmtId="166" fontId="2" fillId="0" borderId="73" xfId="1" applyNumberFormat="1" applyFont="1" applyBorder="1" applyAlignment="1">
      <alignment horizontal="center" vertical="center" wrapText="1"/>
    </xf>
    <xf numFmtId="0" fontId="21" fillId="13" borderId="38" xfId="0" applyFont="1" applyFill="1" applyBorder="1" applyAlignment="1">
      <alignment horizontal="right"/>
    </xf>
    <xf numFmtId="10" fontId="10" fillId="13" borderId="7" xfId="2" applyNumberFormat="1" applyFont="1" applyFill="1" applyBorder="1" applyAlignment="1">
      <alignment horizontal="center" vertical="center"/>
    </xf>
    <xf numFmtId="10" fontId="21" fillId="13" borderId="38" xfId="2" applyNumberFormat="1" applyFont="1" applyFill="1" applyBorder="1" applyAlignment="1">
      <alignment horizontal="right" vertical="center"/>
    </xf>
    <xf numFmtId="10" fontId="21" fillId="13" borderId="30" xfId="2" applyNumberFormat="1" applyFont="1" applyFill="1" applyBorder="1" applyAlignment="1">
      <alignment horizontal="right" vertical="center"/>
    </xf>
    <xf numFmtId="0" fontId="21" fillId="19" borderId="38" xfId="0" applyFont="1" applyFill="1" applyBorder="1" applyAlignment="1">
      <alignment horizontal="right"/>
    </xf>
    <xf numFmtId="0" fontId="21" fillId="19" borderId="30" xfId="0" applyFont="1" applyFill="1" applyBorder="1" applyAlignment="1">
      <alignment horizontal="right"/>
    </xf>
    <xf numFmtId="170" fontId="21" fillId="19" borderId="67" xfId="1" applyNumberFormat="1" applyFont="1" applyFill="1" applyBorder="1" applyAlignment="1">
      <alignment horizontal="right" vertical="center"/>
    </xf>
    <xf numFmtId="170" fontId="21" fillId="19" borderId="70" xfId="1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8" xfId="0" applyFill="1" applyBorder="1"/>
    <xf numFmtId="0" fontId="0" fillId="3" borderId="27" xfId="0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11" xfId="0" applyFill="1" applyBorder="1"/>
    <xf numFmtId="0" fontId="0" fillId="3" borderId="0" xfId="0" applyFill="1" applyBorder="1" applyAlignment="1">
      <alignment vertical="center"/>
    </xf>
    <xf numFmtId="0" fontId="0" fillId="3" borderId="12" xfId="0" applyFill="1" applyBorder="1"/>
    <xf numFmtId="0" fontId="0" fillId="3" borderId="26" xfId="0" applyFill="1" applyBorder="1" applyAlignment="1">
      <alignment vertical="center"/>
    </xf>
    <xf numFmtId="0" fontId="0" fillId="3" borderId="26" xfId="0" applyFill="1" applyBorder="1"/>
    <xf numFmtId="0" fontId="0" fillId="3" borderId="13" xfId="0" applyFill="1" applyBorder="1"/>
    <xf numFmtId="0" fontId="0" fillId="3" borderId="27" xfId="0" applyFill="1" applyBorder="1" applyAlignment="1">
      <alignment vertical="center"/>
    </xf>
    <xf numFmtId="0" fontId="0" fillId="3" borderId="10" xfId="0" applyFont="1" applyFill="1" applyBorder="1"/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0" fillId="3" borderId="11" xfId="0" applyFont="1" applyFill="1" applyBorder="1"/>
    <xf numFmtId="0" fontId="0" fillId="3" borderId="12" xfId="0" applyFont="1" applyFill="1" applyBorder="1"/>
    <xf numFmtId="0" fontId="0" fillId="3" borderId="26" xfId="0" applyFont="1" applyFill="1" applyBorder="1" applyAlignment="1">
      <alignment vertical="center"/>
    </xf>
    <xf numFmtId="0" fontId="0" fillId="3" borderId="26" xfId="0" applyFont="1" applyFill="1" applyBorder="1"/>
    <xf numFmtId="0" fontId="0" fillId="3" borderId="13" xfId="0" applyFont="1" applyFill="1" applyBorder="1"/>
    <xf numFmtId="0" fontId="42" fillId="3" borderId="0" xfId="0" applyFont="1" applyFill="1" applyBorder="1" applyAlignment="1">
      <alignment vertical="center"/>
    </xf>
    <xf numFmtId="0" fontId="0" fillId="3" borderId="8" xfId="0" applyFont="1" applyFill="1" applyBorder="1"/>
    <xf numFmtId="0" fontId="0" fillId="3" borderId="27" xfId="0" applyFont="1" applyFill="1" applyBorder="1" applyAlignment="1">
      <alignment vertical="center"/>
    </xf>
    <xf numFmtId="0" fontId="0" fillId="3" borderId="27" xfId="0" applyFont="1" applyFill="1" applyBorder="1"/>
    <xf numFmtId="0" fontId="0" fillId="3" borderId="9" xfId="0" applyFont="1" applyFill="1" applyBorder="1"/>
    <xf numFmtId="0" fontId="4" fillId="3" borderId="0" xfId="0" applyFont="1" applyFill="1" applyBorder="1"/>
    <xf numFmtId="0" fontId="0" fillId="3" borderId="0" xfId="0" quotePrefix="1" applyFont="1" applyFill="1" applyBorder="1" applyAlignment="1">
      <alignment vertical="center"/>
    </xf>
    <xf numFmtId="0" fontId="43" fillId="3" borderId="0" xfId="8" applyFill="1" applyBorder="1"/>
    <xf numFmtId="0" fontId="0" fillId="10" borderId="30" xfId="2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0" fillId="9" borderId="0" xfId="0" applyFont="1" applyFill="1" applyBorder="1"/>
    <xf numFmtId="0" fontId="41" fillId="3" borderId="0" xfId="0" applyFont="1" applyFill="1" applyAlignment="1">
      <alignment vertical="center"/>
    </xf>
    <xf numFmtId="0" fontId="44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44" fillId="22" borderId="0" xfId="0" applyFont="1" applyFill="1" applyBorder="1" applyAlignment="1">
      <alignment vertical="center"/>
    </xf>
    <xf numFmtId="0" fontId="8" fillId="22" borderId="0" xfId="0" applyFont="1" applyFill="1" applyBorder="1"/>
    <xf numFmtId="0" fontId="44" fillId="7" borderId="0" xfId="0" applyFont="1" applyFill="1" applyBorder="1" applyAlignment="1">
      <alignment vertical="center"/>
    </xf>
    <xf numFmtId="0" fontId="8" fillId="7" borderId="0" xfId="0" applyFont="1" applyFill="1" applyBorder="1"/>
    <xf numFmtId="0" fontId="6" fillId="7" borderId="7" xfId="0" applyFont="1" applyFill="1" applyBorder="1"/>
    <xf numFmtId="0" fontId="8" fillId="25" borderId="0" xfId="0" applyFont="1" applyFill="1" applyBorder="1" applyAlignment="1">
      <alignment vertical="center"/>
    </xf>
    <xf numFmtId="0" fontId="8" fillId="25" borderId="0" xfId="0" applyFont="1" applyFill="1" applyBorder="1"/>
    <xf numFmtId="0" fontId="8" fillId="26" borderId="0" xfId="0" applyFont="1" applyFill="1" applyBorder="1" applyAlignment="1">
      <alignment vertical="center"/>
    </xf>
    <xf numFmtId="0" fontId="8" fillId="26" borderId="0" xfId="0" applyFont="1" applyFill="1" applyBorder="1"/>
    <xf numFmtId="17" fontId="41" fillId="3" borderId="0" xfId="0" quotePrefix="1" applyNumberFormat="1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66" fontId="3" fillId="0" borderId="26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2" fillId="0" borderId="62" xfId="1" applyNumberFormat="1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164" fontId="0" fillId="0" borderId="46" xfId="1" applyFont="1" applyBorder="1" applyAlignment="1">
      <alignment horizontal="center"/>
    </xf>
    <xf numFmtId="164" fontId="0" fillId="0" borderId="47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0" fillId="0" borderId="49" xfId="0" applyNumberFormat="1" applyFont="1" applyBorder="1" applyAlignment="1">
      <alignment horizontal="center"/>
    </xf>
    <xf numFmtId="0" fontId="0" fillId="0" borderId="50" xfId="0" applyNumberFormat="1" applyFont="1" applyBorder="1" applyAlignment="1">
      <alignment horizontal="center"/>
    </xf>
    <xf numFmtId="164" fontId="0" fillId="0" borderId="44" xfId="0" applyNumberFormat="1" applyFont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64" fontId="0" fillId="0" borderId="36" xfId="0" applyNumberFormat="1" applyFont="1" applyBorder="1" applyAlignment="1">
      <alignment horizontal="center"/>
    </xf>
    <xf numFmtId="164" fontId="0" fillId="0" borderId="43" xfId="1" applyFont="1" applyBorder="1" applyAlignment="1">
      <alignment horizontal="center"/>
    </xf>
    <xf numFmtId="164" fontId="3" fillId="14" borderId="8" xfId="1" applyFont="1" applyFill="1" applyBorder="1" applyAlignment="1">
      <alignment horizontal="center"/>
    </xf>
    <xf numFmtId="164" fontId="3" fillId="14" borderId="27" xfId="1" applyFont="1" applyFill="1" applyBorder="1" applyAlignment="1">
      <alignment horizontal="center"/>
    </xf>
    <xf numFmtId="164" fontId="3" fillId="14" borderId="9" xfId="1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0" fontId="13" fillId="3" borderId="27" xfId="3" applyFont="1" applyFill="1" applyBorder="1" applyAlignment="1">
      <alignment horizontal="left" vertical="center" wrapText="1"/>
    </xf>
    <xf numFmtId="0" fontId="10" fillId="3" borderId="8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10" fillId="3" borderId="77" xfId="3" applyFont="1" applyFill="1" applyBorder="1" applyAlignment="1">
      <alignment horizontal="center" vertical="center" wrapText="1"/>
    </xf>
    <xf numFmtId="0" fontId="10" fillId="3" borderId="78" xfId="3" applyFont="1" applyFill="1" applyBorder="1" applyAlignment="1">
      <alignment horizontal="center" vertical="center" wrapText="1"/>
    </xf>
    <xf numFmtId="0" fontId="10" fillId="3" borderId="79" xfId="3" applyFont="1" applyFill="1" applyBorder="1" applyAlignment="1">
      <alignment horizontal="center" vertical="center"/>
    </xf>
    <xf numFmtId="0" fontId="10" fillId="3" borderId="83" xfId="3" applyFont="1" applyFill="1" applyBorder="1" applyAlignment="1">
      <alignment horizontal="center" vertical="center"/>
    </xf>
    <xf numFmtId="0" fontId="10" fillId="3" borderId="86" xfId="3" applyFont="1" applyFill="1" applyBorder="1" applyAlignment="1">
      <alignment horizontal="center" vertical="center"/>
    </xf>
    <xf numFmtId="0" fontId="10" fillId="3" borderId="80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87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82" xfId="3" applyFont="1" applyFill="1" applyBorder="1" applyAlignment="1">
      <alignment horizontal="center" vertical="center" wrapText="1"/>
    </xf>
    <xf numFmtId="0" fontId="10" fillId="3" borderId="81" xfId="3" applyFont="1" applyFill="1" applyBorder="1" applyAlignment="1">
      <alignment horizontal="center" vertical="center" wrapText="1"/>
    </xf>
    <xf numFmtId="0" fontId="10" fillId="3" borderId="84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0" fillId="3" borderId="105" xfId="3" applyFont="1" applyFill="1" applyBorder="1" applyAlignment="1">
      <alignment horizontal="center" vertical="center" wrapText="1"/>
    </xf>
    <xf numFmtId="0" fontId="10" fillId="3" borderId="103" xfId="3" applyFont="1" applyFill="1" applyBorder="1" applyAlignment="1">
      <alignment horizontal="center" vertical="center" wrapText="1"/>
    </xf>
    <xf numFmtId="0" fontId="10" fillId="3" borderId="104" xfId="3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left" vertical="center" wrapText="1"/>
    </xf>
    <xf numFmtId="0" fontId="10" fillId="3" borderId="27" xfId="3" applyFont="1" applyFill="1" applyBorder="1" applyAlignment="1">
      <alignment horizontal="center" vertical="center" wrapText="1"/>
    </xf>
    <xf numFmtId="0" fontId="10" fillId="3" borderId="92" xfId="3" applyFont="1" applyFill="1" applyBorder="1" applyAlignment="1">
      <alignment horizontal="center" vertical="center"/>
    </xf>
    <xf numFmtId="0" fontId="10" fillId="3" borderId="101" xfId="3" applyFont="1" applyFill="1" applyBorder="1" applyAlignment="1">
      <alignment horizontal="center" vertical="center"/>
    </xf>
    <xf numFmtId="0" fontId="10" fillId="3" borderId="90" xfId="3" applyFont="1" applyFill="1" applyBorder="1" applyAlignment="1">
      <alignment horizontal="center" vertical="center"/>
    </xf>
    <xf numFmtId="0" fontId="10" fillId="3" borderId="111" xfId="3" applyFont="1" applyFill="1" applyBorder="1" applyAlignment="1">
      <alignment horizontal="center" vertical="center"/>
    </xf>
    <xf numFmtId="0" fontId="10" fillId="3" borderId="119" xfId="3" applyFont="1" applyFill="1" applyBorder="1" applyAlignment="1">
      <alignment horizontal="center" vertical="center"/>
    </xf>
    <xf numFmtId="0" fontId="10" fillId="3" borderId="112" xfId="3" applyFont="1" applyFill="1" applyBorder="1" applyAlignment="1">
      <alignment horizontal="center" vertical="center"/>
    </xf>
    <xf numFmtId="0" fontId="10" fillId="3" borderId="113" xfId="3" applyFont="1" applyFill="1" applyBorder="1" applyAlignment="1">
      <alignment horizontal="center" vertical="center"/>
    </xf>
    <xf numFmtId="0" fontId="13" fillId="3" borderId="0" xfId="3" quotePrefix="1" applyFont="1" applyFill="1" applyAlignment="1">
      <alignment horizontal="left" vertical="top" wrapText="1"/>
    </xf>
    <xf numFmtId="0" fontId="13" fillId="3" borderId="0" xfId="3" quotePrefix="1" applyFont="1" applyFill="1" applyAlignment="1">
      <alignment horizontal="left" vertical="top"/>
    </xf>
    <xf numFmtId="0" fontId="13" fillId="3" borderId="0" xfId="3" applyFont="1" applyFill="1" applyAlignment="1">
      <alignment horizontal="left" vertical="top"/>
    </xf>
    <xf numFmtId="0" fontId="32" fillId="3" borderId="89" xfId="6" applyFont="1" applyFill="1" applyBorder="1" applyAlignment="1">
      <alignment horizontal="center" vertical="center"/>
    </xf>
    <xf numFmtId="0" fontId="32" fillId="3" borderId="99" xfId="6" applyFont="1" applyFill="1" applyBorder="1" applyAlignment="1">
      <alignment horizontal="center" vertical="center"/>
    </xf>
    <xf numFmtId="0" fontId="32" fillId="3" borderId="90" xfId="6" applyFont="1" applyFill="1" applyBorder="1" applyAlignment="1">
      <alignment horizontal="center" vertical="center"/>
    </xf>
    <xf numFmtId="0" fontId="32" fillId="3" borderId="111" xfId="6" applyFont="1" applyFill="1" applyBorder="1" applyAlignment="1">
      <alignment horizontal="center" vertical="center"/>
    </xf>
    <xf numFmtId="0" fontId="32" fillId="3" borderId="119" xfId="6" applyFont="1" applyFill="1" applyBorder="1" applyAlignment="1">
      <alignment horizontal="center" vertical="center"/>
    </xf>
    <xf numFmtId="0" fontId="32" fillId="3" borderId="127" xfId="6" applyFont="1" applyFill="1" applyBorder="1" applyAlignment="1">
      <alignment horizontal="center" vertical="center"/>
    </xf>
    <xf numFmtId="0" fontId="32" fillId="3" borderId="128" xfId="6" applyFont="1" applyFill="1" applyBorder="1" applyAlignment="1">
      <alignment horizontal="center" vertical="center"/>
    </xf>
    <xf numFmtId="0" fontId="32" fillId="3" borderId="91" xfId="6" applyFont="1" applyFill="1" applyBorder="1" applyAlignment="1">
      <alignment horizontal="center" vertical="center"/>
    </xf>
    <xf numFmtId="0" fontId="32" fillId="3" borderId="130" xfId="6" applyFont="1" applyFill="1" applyBorder="1" applyAlignment="1">
      <alignment horizontal="center" vertical="center"/>
    </xf>
    <xf numFmtId="0" fontId="10" fillId="3" borderId="92" xfId="6" applyFont="1" applyFill="1" applyBorder="1" applyAlignment="1">
      <alignment horizontal="center" vertical="center"/>
    </xf>
    <xf numFmtId="0" fontId="10" fillId="3" borderId="101" xfId="6" applyFont="1" applyFill="1" applyBorder="1" applyAlignment="1">
      <alignment horizontal="center" vertical="center"/>
    </xf>
    <xf numFmtId="0" fontId="10" fillId="3" borderId="90" xfId="6" applyFont="1" applyFill="1" applyBorder="1" applyAlignment="1">
      <alignment horizontal="center" vertical="center"/>
    </xf>
    <xf numFmtId="0" fontId="10" fillId="3" borderId="111" xfId="6" applyFont="1" applyFill="1" applyBorder="1" applyAlignment="1">
      <alignment horizontal="center" vertical="center"/>
    </xf>
    <xf numFmtId="0" fontId="10" fillId="3" borderId="119" xfId="6" applyFont="1" applyFill="1" applyBorder="1" applyAlignment="1">
      <alignment horizontal="center" vertical="center"/>
    </xf>
    <xf numFmtId="0" fontId="31" fillId="3" borderId="111" xfId="6" applyFont="1" applyFill="1" applyBorder="1" applyAlignment="1">
      <alignment horizontal="center" vertical="center"/>
    </xf>
    <xf numFmtId="0" fontId="31" fillId="3" borderId="119" xfId="6" applyFont="1" applyFill="1" applyBorder="1" applyAlignment="1">
      <alignment horizontal="center" vertical="center"/>
    </xf>
    <xf numFmtId="0" fontId="10" fillId="3" borderId="112" xfId="6" applyFont="1" applyFill="1" applyBorder="1" applyAlignment="1">
      <alignment horizontal="center" vertical="center"/>
    </xf>
    <xf numFmtId="0" fontId="31" fillId="3" borderId="113" xfId="6" applyFont="1" applyFill="1" applyBorder="1" applyAlignment="1">
      <alignment horizontal="center" vertical="center"/>
    </xf>
    <xf numFmtId="0" fontId="10" fillId="3" borderId="127" xfId="3" applyFont="1" applyFill="1" applyBorder="1" applyAlignment="1">
      <alignment horizontal="center" vertical="center"/>
    </xf>
    <xf numFmtId="0" fontId="10" fillId="3" borderId="128" xfId="3" applyFont="1" applyFill="1" applyBorder="1" applyAlignment="1">
      <alignment horizontal="center" vertical="center"/>
    </xf>
    <xf numFmtId="0" fontId="10" fillId="3" borderId="89" xfId="6" applyFont="1" applyFill="1" applyBorder="1" applyAlignment="1">
      <alignment horizontal="center" vertical="center"/>
    </xf>
    <xf numFmtId="0" fontId="10" fillId="3" borderId="99" xfId="6" applyFont="1" applyFill="1" applyBorder="1" applyAlignment="1">
      <alignment horizontal="center" vertical="center"/>
    </xf>
    <xf numFmtId="0" fontId="31" fillId="0" borderId="111" xfId="6" applyFont="1" applyBorder="1" applyAlignment="1">
      <alignment horizontal="center" vertical="center"/>
    </xf>
    <xf numFmtId="0" fontId="31" fillId="0" borderId="113" xfId="6" applyFont="1" applyBorder="1" applyAlignment="1">
      <alignment horizontal="center" vertical="center"/>
    </xf>
  </cellXfs>
  <cellStyles count="9">
    <cellStyle name="Lien hypertexte" xfId="8" builtinId="8"/>
    <cellStyle name="Milliers" xfId="1" builtinId="3"/>
    <cellStyle name="Milliers 2" xfId="5"/>
    <cellStyle name="Milliers_Table des paramètres trimestriels - définitive - 010405" xfId="7"/>
    <cellStyle name="Normal" xfId="0" builtinId="0"/>
    <cellStyle name="Normal 2" xfId="3"/>
    <cellStyle name="Normal 3" xfId="6"/>
    <cellStyle name="Pourcentage" xfId="2" builtinId="5"/>
    <cellStyle name="Pourcentage 2" xfId="4"/>
  </cellStyles>
  <dxfs count="0"/>
  <tableStyles count="0" defaultTableStyle="TableStyleMedium2" defaultPivotStyle="PivotStyleMedium9"/>
  <colors>
    <mruColors>
      <color rgb="FFFE9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SMPT!$G$5</c:f>
              <c:strCache>
                <c:ptCount val="1"/>
                <c:pt idx="0">
                  <c:v>Sc_1,8%</c:v>
                </c:pt>
              </c:strCache>
            </c:strRef>
          </c:tx>
          <c:marker>
            <c:symbol val="none"/>
          </c:marker>
          <c:cat>
            <c:numRef>
              <c:f>SMPT!$B$7:$B$127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SMPT!$G$7:$G$127</c:f>
              <c:numCache>
                <c:formatCode>0.0%</c:formatCode>
                <c:ptCount val="121"/>
                <c:pt idx="0">
                  <c:v>0.13239903612217629</c:v>
                </c:pt>
                <c:pt idx="1">
                  <c:v>0.23757051812913832</c:v>
                </c:pt>
                <c:pt idx="2">
                  <c:v>0.16962131529575708</c:v>
                </c:pt>
                <c:pt idx="3">
                  <c:v>2.5398054000407511E-2</c:v>
                </c:pt>
                <c:pt idx="4">
                  <c:v>6.1802168557338444E-2</c:v>
                </c:pt>
                <c:pt idx="5">
                  <c:v>6.1214738825859705E-2</c:v>
                </c:pt>
                <c:pt idx="6">
                  <c:v>8.2379276866380469E-2</c:v>
                </c:pt>
                <c:pt idx="7">
                  <c:v>0.11386022015070907</c:v>
                </c:pt>
                <c:pt idx="8">
                  <c:v>0.15057418044090198</c:v>
                </c:pt>
                <c:pt idx="9">
                  <c:v>6.8259590331362086E-2</c:v>
                </c:pt>
                <c:pt idx="10">
                  <c:v>9.9413013551563401E-2</c:v>
                </c:pt>
                <c:pt idx="11">
                  <c:v>7.2449408278555172E-2</c:v>
                </c:pt>
                <c:pt idx="12">
                  <c:v>0.13407889620076352</c:v>
                </c:pt>
                <c:pt idx="13">
                  <c:v>0.10025627230819034</c:v>
                </c:pt>
                <c:pt idx="14">
                  <c:v>7.8137673758857273E-2</c:v>
                </c:pt>
                <c:pt idx="15">
                  <c:v>6.5277764672039051E-2</c:v>
                </c:pt>
                <c:pt idx="16">
                  <c:v>6.9652761753262515E-2</c:v>
                </c:pt>
                <c:pt idx="17">
                  <c:v>7.2529316256766174E-2</c:v>
                </c:pt>
                <c:pt idx="18">
                  <c:v>0.1004795421385607</c:v>
                </c:pt>
                <c:pt idx="19">
                  <c:v>0.10203812769804554</c:v>
                </c:pt>
                <c:pt idx="20">
                  <c:v>0.1083632399751373</c:v>
                </c:pt>
                <c:pt idx="21">
                  <c:v>0.10504732790569538</c:v>
                </c:pt>
                <c:pt idx="22">
                  <c:v>0.1153786148253404</c:v>
                </c:pt>
                <c:pt idx="23">
                  <c:v>0.12067652097574078</c:v>
                </c:pt>
                <c:pt idx="24">
                  <c:v>0.15607953424917631</c:v>
                </c:pt>
                <c:pt idx="25">
                  <c:v>0.14929163829730752</c:v>
                </c:pt>
                <c:pt idx="26">
                  <c:v>0.13162188259283703</c:v>
                </c:pt>
                <c:pt idx="27">
                  <c:v>0.11351969344487389</c:v>
                </c:pt>
                <c:pt idx="28">
                  <c:v>0.12954577557462943</c:v>
                </c:pt>
                <c:pt idx="29">
                  <c:v>0.11520883882751543</c:v>
                </c:pt>
                <c:pt idx="30">
                  <c:v>0.13900412125988826</c:v>
                </c:pt>
                <c:pt idx="31">
                  <c:v>0.12329225014094347</c:v>
                </c:pt>
                <c:pt idx="32">
                  <c:v>0.13866039068018399</c:v>
                </c:pt>
                <c:pt idx="33">
                  <c:v>9.2262403399875348E-2</c:v>
                </c:pt>
                <c:pt idx="34">
                  <c:v>6.52058796243975E-2</c:v>
                </c:pt>
                <c:pt idx="35">
                  <c:v>5.7955371688367174E-2</c:v>
                </c:pt>
                <c:pt idx="36">
                  <c:v>4.5287453229215346E-2</c:v>
                </c:pt>
                <c:pt idx="37">
                  <c:v>2.5841633226707295E-2</c:v>
                </c:pt>
                <c:pt idx="38">
                  <c:v>4.3043592059756719E-2</c:v>
                </c:pt>
                <c:pt idx="39">
                  <c:v>5.5811202005634497E-2</c:v>
                </c:pt>
                <c:pt idx="40">
                  <c:v>5.7745904797523728E-2</c:v>
                </c:pt>
                <c:pt idx="41">
                  <c:v>3.6375007698938644E-2</c:v>
                </c:pt>
                <c:pt idx="42">
                  <c:v>3.6726927343456062E-2</c:v>
                </c:pt>
                <c:pt idx="43">
                  <c:v>1.7317023191158798E-2</c:v>
                </c:pt>
                <c:pt idx="44">
                  <c:v>1.7045175406477764E-2</c:v>
                </c:pt>
                <c:pt idx="45">
                  <c:v>2.4423749140604745E-2</c:v>
                </c:pt>
                <c:pt idx="46">
                  <c:v>2.4330792158154813E-2</c:v>
                </c:pt>
                <c:pt idx="47">
                  <c:v>1.4443685778036564E-2</c:v>
                </c:pt>
                <c:pt idx="48">
                  <c:v>2.2077079913713549E-2</c:v>
                </c:pt>
                <c:pt idx="49">
                  <c:v>2.4127683683496048E-2</c:v>
                </c:pt>
                <c:pt idx="50">
                  <c:v>3.4535163620869502E-2</c:v>
                </c:pt>
                <c:pt idx="51">
                  <c:v>3.5192050998508639E-2</c:v>
                </c:pt>
                <c:pt idx="52">
                  <c:v>3.61442029590886E-2</c:v>
                </c:pt>
                <c:pt idx="53">
                  <c:v>2.2825594758775214E-2</c:v>
                </c:pt>
                <c:pt idx="54">
                  <c:v>3.5267551341478187E-2</c:v>
                </c:pt>
                <c:pt idx="55">
                  <c:v>2.4753685003209736E-2</c:v>
                </c:pt>
                <c:pt idx="56">
                  <c:v>3.2628336202813024E-2</c:v>
                </c:pt>
                <c:pt idx="57">
                  <c:v>2.5794164169500977E-2</c:v>
                </c:pt>
                <c:pt idx="58">
                  <c:v>2.3648414424766839E-2</c:v>
                </c:pt>
                <c:pt idx="59">
                  <c:v>1.4211325895518989E-4</c:v>
                </c:pt>
                <c:pt idx="60">
                  <c:v>2.6724575957420837E-2</c:v>
                </c:pt>
                <c:pt idx="61">
                  <c:v>1.2800937850541816E-2</c:v>
                </c:pt>
                <c:pt idx="62">
                  <c:v>1.5030752095945177E-2</c:v>
                </c:pt>
                <c:pt idx="63">
                  <c:v>5.9488454236198418E-3</c:v>
                </c:pt>
                <c:pt idx="64">
                  <c:v>6.6707237198082581E-3</c:v>
                </c:pt>
                <c:pt idx="65">
                  <c:v>1.2022397689117836E-2</c:v>
                </c:pt>
                <c:pt idx="66">
                  <c:v>1.2324937225552945E-2</c:v>
                </c:pt>
                <c:pt idx="67">
                  <c:v>1.99720284887277E-2</c:v>
                </c:pt>
                <c:pt idx="68">
                  <c:v>1.5394925321076558E-2</c:v>
                </c:pt>
                <c:pt idx="69">
                  <c:v>1.5224170894443168E-2</c:v>
                </c:pt>
                <c:pt idx="70">
                  <c:v>-2.3337234961143594E-2</c:v>
                </c:pt>
                <c:pt idx="71">
                  <c:v>4.1329999999999867E-2</c:v>
                </c:pt>
                <c:pt idx="72">
                  <c:v>2.5135999999999825E-2</c:v>
                </c:pt>
                <c:pt idx="73">
                  <c:v>3.6288000000000098E-2</c:v>
                </c:pt>
                <c:pt idx="74">
                  <c:v>2.7179999999999982E-2</c:v>
                </c:pt>
                <c:pt idx="75">
                  <c:v>2.869250000000001E-2</c:v>
                </c:pt>
                <c:pt idx="76">
                  <c:v>2.7675000000000116E-2</c:v>
                </c:pt>
                <c:pt idx="77">
                  <c:v>2.7675000000000116E-2</c:v>
                </c:pt>
                <c:pt idx="78">
                  <c:v>2.8387249999999975E-2</c:v>
                </c:pt>
                <c:pt idx="79">
                  <c:v>3.001525000000016E-2</c:v>
                </c:pt>
                <c:pt idx="80">
                  <c:v>3.1643250000000123E-2</c:v>
                </c:pt>
                <c:pt idx="81">
                  <c:v>3.4186999999999967E-2</c:v>
                </c:pt>
                <c:pt idx="82">
                  <c:v>3.5815000000000152E-2</c:v>
                </c:pt>
                <c:pt idx="83">
                  <c:v>3.5815000000000152E-2</c:v>
                </c:pt>
                <c:pt idx="84">
                  <c:v>3.5815000000000152E-2</c:v>
                </c:pt>
                <c:pt idx="85">
                  <c:v>3.5815000000000152E-2</c:v>
                </c:pt>
                <c:pt idx="86">
                  <c:v>3.5815000000000152E-2</c:v>
                </c:pt>
                <c:pt idx="87">
                  <c:v>3.5815000000000152E-2</c:v>
                </c:pt>
                <c:pt idx="88">
                  <c:v>3.5815000000000152E-2</c:v>
                </c:pt>
                <c:pt idx="89">
                  <c:v>3.5815000000000152E-2</c:v>
                </c:pt>
                <c:pt idx="90">
                  <c:v>3.5815000000000152E-2</c:v>
                </c:pt>
                <c:pt idx="91">
                  <c:v>3.5815000000000152E-2</c:v>
                </c:pt>
                <c:pt idx="92">
                  <c:v>3.5815000000000152E-2</c:v>
                </c:pt>
                <c:pt idx="93">
                  <c:v>3.5815000000000152E-2</c:v>
                </c:pt>
                <c:pt idx="94">
                  <c:v>3.5815000000000152E-2</c:v>
                </c:pt>
                <c:pt idx="95">
                  <c:v>3.5815000000000152E-2</c:v>
                </c:pt>
                <c:pt idx="96">
                  <c:v>3.5815000000000152E-2</c:v>
                </c:pt>
                <c:pt idx="97">
                  <c:v>3.5815000000000152E-2</c:v>
                </c:pt>
                <c:pt idx="98">
                  <c:v>3.5815000000000152E-2</c:v>
                </c:pt>
                <c:pt idx="99">
                  <c:v>3.5815000000000152E-2</c:v>
                </c:pt>
                <c:pt idx="100">
                  <c:v>3.5815000000000152E-2</c:v>
                </c:pt>
                <c:pt idx="101">
                  <c:v>3.5815000000000152E-2</c:v>
                </c:pt>
                <c:pt idx="102">
                  <c:v>3.5815000000000152E-2</c:v>
                </c:pt>
                <c:pt idx="103">
                  <c:v>3.5815000000000152E-2</c:v>
                </c:pt>
                <c:pt idx="104">
                  <c:v>3.5815000000000152E-2</c:v>
                </c:pt>
                <c:pt idx="105">
                  <c:v>3.5815000000000152E-2</c:v>
                </c:pt>
                <c:pt idx="106">
                  <c:v>3.5815000000000152E-2</c:v>
                </c:pt>
                <c:pt idx="107">
                  <c:v>3.5815000000000152E-2</c:v>
                </c:pt>
                <c:pt idx="108">
                  <c:v>3.5815000000000152E-2</c:v>
                </c:pt>
                <c:pt idx="109">
                  <c:v>3.5815000000000152E-2</c:v>
                </c:pt>
                <c:pt idx="110">
                  <c:v>3.5815000000000152E-2</c:v>
                </c:pt>
                <c:pt idx="111">
                  <c:v>3.5815000000000152E-2</c:v>
                </c:pt>
                <c:pt idx="112">
                  <c:v>3.5815000000000152E-2</c:v>
                </c:pt>
                <c:pt idx="113">
                  <c:v>3.5815000000000152E-2</c:v>
                </c:pt>
                <c:pt idx="114">
                  <c:v>3.5815000000000152E-2</c:v>
                </c:pt>
                <c:pt idx="115">
                  <c:v>3.5815000000000152E-2</c:v>
                </c:pt>
                <c:pt idx="116">
                  <c:v>3.5815000000000152E-2</c:v>
                </c:pt>
                <c:pt idx="117">
                  <c:v>3.5815000000000152E-2</c:v>
                </c:pt>
                <c:pt idx="118">
                  <c:v>3.5815000000000152E-2</c:v>
                </c:pt>
                <c:pt idx="119">
                  <c:v>3.5815000000000152E-2</c:v>
                </c:pt>
                <c:pt idx="120">
                  <c:v>3.5815000000000152E-2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E-4A48-B4BC-3AD49B3305B9}"/>
            </c:ext>
          </c:extLst>
        </c:ser>
        <c:ser>
          <c:idx val="1"/>
          <c:order val="1"/>
          <c:tx>
            <c:strRef>
              <c:f>SMPT!$H$5</c:f>
              <c:strCache>
                <c:ptCount val="1"/>
                <c:pt idx="0">
                  <c:v>Sc_1,5%</c:v>
                </c:pt>
              </c:strCache>
            </c:strRef>
          </c:tx>
          <c:marker>
            <c:symbol val="none"/>
          </c:marker>
          <c:cat>
            <c:numRef>
              <c:f>SMPT!$B$7:$B$127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SMPT!$H$7:$H$127</c:f>
              <c:numCache>
                <c:formatCode>0.0%</c:formatCode>
                <c:ptCount val="121"/>
                <c:pt idx="0">
                  <c:v>0.13239903612217629</c:v>
                </c:pt>
                <c:pt idx="1">
                  <c:v>0.23757051812913832</c:v>
                </c:pt>
                <c:pt idx="2">
                  <c:v>0.16962131529575708</c:v>
                </c:pt>
                <c:pt idx="3">
                  <c:v>2.5398054000407511E-2</c:v>
                </c:pt>
                <c:pt idx="4">
                  <c:v>6.1802168557338444E-2</c:v>
                </c:pt>
                <c:pt idx="5">
                  <c:v>6.1214738825859705E-2</c:v>
                </c:pt>
                <c:pt idx="6">
                  <c:v>8.2379276866380469E-2</c:v>
                </c:pt>
                <c:pt idx="7">
                  <c:v>0.11386022015070907</c:v>
                </c:pt>
                <c:pt idx="8">
                  <c:v>0.15057418044090198</c:v>
                </c:pt>
                <c:pt idx="9">
                  <c:v>6.8259590331362086E-2</c:v>
                </c:pt>
                <c:pt idx="10">
                  <c:v>9.9413013551563401E-2</c:v>
                </c:pt>
                <c:pt idx="11">
                  <c:v>7.2449408278555172E-2</c:v>
                </c:pt>
                <c:pt idx="12">
                  <c:v>0.13407889620076352</c:v>
                </c:pt>
                <c:pt idx="13">
                  <c:v>0.10025627230819034</c:v>
                </c:pt>
                <c:pt idx="14">
                  <c:v>7.8137673758857273E-2</c:v>
                </c:pt>
                <c:pt idx="15">
                  <c:v>6.5277764672039051E-2</c:v>
                </c:pt>
                <c:pt idx="16">
                  <c:v>6.9652761753262515E-2</c:v>
                </c:pt>
                <c:pt idx="17">
                  <c:v>7.2529316256766174E-2</c:v>
                </c:pt>
                <c:pt idx="18">
                  <c:v>0.1004795421385607</c:v>
                </c:pt>
                <c:pt idx="19">
                  <c:v>0.10203812769804554</c:v>
                </c:pt>
                <c:pt idx="20">
                  <c:v>0.1083632399751373</c:v>
                </c:pt>
                <c:pt idx="21">
                  <c:v>0.10504732790569538</c:v>
                </c:pt>
                <c:pt idx="22">
                  <c:v>0.1153786148253404</c:v>
                </c:pt>
                <c:pt idx="23">
                  <c:v>0.12067652097574078</c:v>
                </c:pt>
                <c:pt idx="24">
                  <c:v>0.15607953424917631</c:v>
                </c:pt>
                <c:pt idx="25">
                  <c:v>0.14929163829730752</c:v>
                </c:pt>
                <c:pt idx="26">
                  <c:v>0.13162188259283703</c:v>
                </c:pt>
                <c:pt idx="27">
                  <c:v>0.11351969344487389</c:v>
                </c:pt>
                <c:pt idx="28">
                  <c:v>0.12954577557462943</c:v>
                </c:pt>
                <c:pt idx="29">
                  <c:v>0.11520883882751543</c:v>
                </c:pt>
                <c:pt idx="30">
                  <c:v>0.13900412125988826</c:v>
                </c:pt>
                <c:pt idx="31">
                  <c:v>0.12329225014094347</c:v>
                </c:pt>
                <c:pt idx="32">
                  <c:v>0.13866039068018399</c:v>
                </c:pt>
                <c:pt idx="33">
                  <c:v>9.2262403399875348E-2</c:v>
                </c:pt>
                <c:pt idx="34">
                  <c:v>6.52058796243975E-2</c:v>
                </c:pt>
                <c:pt idx="35">
                  <c:v>5.7955371688367174E-2</c:v>
                </c:pt>
                <c:pt idx="36">
                  <c:v>4.5287453229215346E-2</c:v>
                </c:pt>
                <c:pt idx="37">
                  <c:v>2.5841633226707295E-2</c:v>
                </c:pt>
                <c:pt idx="38">
                  <c:v>4.3043592059756719E-2</c:v>
                </c:pt>
                <c:pt idx="39">
                  <c:v>5.5811202005634497E-2</c:v>
                </c:pt>
                <c:pt idx="40">
                  <c:v>5.7745904797523728E-2</c:v>
                </c:pt>
                <c:pt idx="41">
                  <c:v>3.6375007698938644E-2</c:v>
                </c:pt>
                <c:pt idx="42">
                  <c:v>3.6726927343456062E-2</c:v>
                </c:pt>
                <c:pt idx="43">
                  <c:v>1.7317023191158798E-2</c:v>
                </c:pt>
                <c:pt idx="44">
                  <c:v>1.7045175406477764E-2</c:v>
                </c:pt>
                <c:pt idx="45">
                  <c:v>2.4423749140604745E-2</c:v>
                </c:pt>
                <c:pt idx="46">
                  <c:v>2.4330792158154813E-2</c:v>
                </c:pt>
                <c:pt idx="47">
                  <c:v>1.4443685778036564E-2</c:v>
                </c:pt>
                <c:pt idx="48">
                  <c:v>2.2077079913713549E-2</c:v>
                </c:pt>
                <c:pt idx="49">
                  <c:v>2.4127683683496048E-2</c:v>
                </c:pt>
                <c:pt idx="50">
                  <c:v>3.4535163620869502E-2</c:v>
                </c:pt>
                <c:pt idx="51">
                  <c:v>3.5192050998508639E-2</c:v>
                </c:pt>
                <c:pt idx="52">
                  <c:v>3.61442029590886E-2</c:v>
                </c:pt>
                <c:pt idx="53">
                  <c:v>2.2825594758775214E-2</c:v>
                </c:pt>
                <c:pt idx="54">
                  <c:v>3.5267551341478187E-2</c:v>
                </c:pt>
                <c:pt idx="55">
                  <c:v>2.4753685003209736E-2</c:v>
                </c:pt>
                <c:pt idx="56">
                  <c:v>3.2628336202813024E-2</c:v>
                </c:pt>
                <c:pt idx="57">
                  <c:v>2.5794164169500977E-2</c:v>
                </c:pt>
                <c:pt idx="58">
                  <c:v>2.3648414424766839E-2</c:v>
                </c:pt>
                <c:pt idx="59">
                  <c:v>1.4211325895518989E-4</c:v>
                </c:pt>
                <c:pt idx="60">
                  <c:v>2.6724575957420837E-2</c:v>
                </c:pt>
                <c:pt idx="61">
                  <c:v>1.2800937850541816E-2</c:v>
                </c:pt>
                <c:pt idx="62">
                  <c:v>1.5030752095945177E-2</c:v>
                </c:pt>
                <c:pt idx="63">
                  <c:v>5.9488454236198418E-3</c:v>
                </c:pt>
                <c:pt idx="64">
                  <c:v>6.6707237198082581E-3</c:v>
                </c:pt>
                <c:pt idx="65">
                  <c:v>1.2022397689117836E-2</c:v>
                </c:pt>
                <c:pt idx="66">
                  <c:v>1.2324937225552945E-2</c:v>
                </c:pt>
                <c:pt idx="67">
                  <c:v>1.99720284887277E-2</c:v>
                </c:pt>
                <c:pt idx="68">
                  <c:v>1.5394925321076558E-2</c:v>
                </c:pt>
                <c:pt idx="69">
                  <c:v>1.5224170894443168E-2</c:v>
                </c:pt>
                <c:pt idx="70">
                  <c:v>-2.3337234961143594E-2</c:v>
                </c:pt>
                <c:pt idx="71">
                  <c:v>4.1329999999999867E-2</c:v>
                </c:pt>
                <c:pt idx="72">
                  <c:v>2.5135999999999825E-2</c:v>
                </c:pt>
                <c:pt idx="73">
                  <c:v>3.6288000000000098E-2</c:v>
                </c:pt>
                <c:pt idx="74">
                  <c:v>2.7179999999999982E-2</c:v>
                </c:pt>
                <c:pt idx="75">
                  <c:v>2.869250000000001E-2</c:v>
                </c:pt>
                <c:pt idx="76">
                  <c:v>2.7675000000000116E-2</c:v>
                </c:pt>
                <c:pt idx="77">
                  <c:v>2.7675000000000116E-2</c:v>
                </c:pt>
                <c:pt idx="78">
                  <c:v>2.7776750000000128E-2</c:v>
                </c:pt>
                <c:pt idx="79">
                  <c:v>2.8794250000000243E-2</c:v>
                </c:pt>
                <c:pt idx="80">
                  <c:v>2.9811750000000137E-2</c:v>
                </c:pt>
                <c:pt idx="81">
                  <c:v>3.1745000000000134E-2</c:v>
                </c:pt>
                <c:pt idx="82">
                  <c:v>3.2762500000000028E-2</c:v>
                </c:pt>
                <c:pt idx="83">
                  <c:v>3.2762500000000028E-2</c:v>
                </c:pt>
                <c:pt idx="84">
                  <c:v>3.2762500000000028E-2</c:v>
                </c:pt>
                <c:pt idx="85">
                  <c:v>3.2762500000000028E-2</c:v>
                </c:pt>
                <c:pt idx="86">
                  <c:v>3.2762500000000028E-2</c:v>
                </c:pt>
                <c:pt idx="87">
                  <c:v>3.2762500000000028E-2</c:v>
                </c:pt>
                <c:pt idx="88">
                  <c:v>3.2762500000000028E-2</c:v>
                </c:pt>
                <c:pt idx="89">
                  <c:v>3.2762500000000028E-2</c:v>
                </c:pt>
                <c:pt idx="90">
                  <c:v>3.2762500000000028E-2</c:v>
                </c:pt>
                <c:pt idx="91">
                  <c:v>3.2762500000000028E-2</c:v>
                </c:pt>
                <c:pt idx="92">
                  <c:v>3.2762500000000028E-2</c:v>
                </c:pt>
                <c:pt idx="93">
                  <c:v>3.2762500000000028E-2</c:v>
                </c:pt>
                <c:pt idx="94">
                  <c:v>3.2762500000000028E-2</c:v>
                </c:pt>
                <c:pt idx="95">
                  <c:v>3.2762500000000028E-2</c:v>
                </c:pt>
                <c:pt idx="96">
                  <c:v>3.2762500000000028E-2</c:v>
                </c:pt>
                <c:pt idx="97">
                  <c:v>3.2762500000000028E-2</c:v>
                </c:pt>
                <c:pt idx="98">
                  <c:v>3.2762500000000028E-2</c:v>
                </c:pt>
                <c:pt idx="99">
                  <c:v>3.2762500000000028E-2</c:v>
                </c:pt>
                <c:pt idx="100">
                  <c:v>3.2762500000000028E-2</c:v>
                </c:pt>
                <c:pt idx="101">
                  <c:v>3.2762500000000028E-2</c:v>
                </c:pt>
                <c:pt idx="102">
                  <c:v>3.2762500000000028E-2</c:v>
                </c:pt>
                <c:pt idx="103">
                  <c:v>3.2762500000000028E-2</c:v>
                </c:pt>
                <c:pt idx="104">
                  <c:v>3.2762500000000028E-2</c:v>
                </c:pt>
                <c:pt idx="105">
                  <c:v>3.2762500000000028E-2</c:v>
                </c:pt>
                <c:pt idx="106">
                  <c:v>3.2762500000000028E-2</c:v>
                </c:pt>
                <c:pt idx="107">
                  <c:v>3.2762500000000028E-2</c:v>
                </c:pt>
                <c:pt idx="108">
                  <c:v>3.2762500000000028E-2</c:v>
                </c:pt>
                <c:pt idx="109">
                  <c:v>3.2762500000000028E-2</c:v>
                </c:pt>
                <c:pt idx="110">
                  <c:v>3.2762500000000028E-2</c:v>
                </c:pt>
                <c:pt idx="111">
                  <c:v>3.2762500000000028E-2</c:v>
                </c:pt>
                <c:pt idx="112">
                  <c:v>3.2762500000000028E-2</c:v>
                </c:pt>
                <c:pt idx="113">
                  <c:v>3.2762500000000028E-2</c:v>
                </c:pt>
                <c:pt idx="114">
                  <c:v>3.2762500000000028E-2</c:v>
                </c:pt>
                <c:pt idx="115">
                  <c:v>3.2762500000000028E-2</c:v>
                </c:pt>
                <c:pt idx="116">
                  <c:v>3.2762500000000028E-2</c:v>
                </c:pt>
                <c:pt idx="117">
                  <c:v>3.2762500000000028E-2</c:v>
                </c:pt>
                <c:pt idx="118">
                  <c:v>3.2762500000000028E-2</c:v>
                </c:pt>
                <c:pt idx="119">
                  <c:v>3.2762500000000028E-2</c:v>
                </c:pt>
                <c:pt idx="120">
                  <c:v>3.2762500000000028E-2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E-4A48-B4BC-3AD49B3305B9}"/>
            </c:ext>
          </c:extLst>
        </c:ser>
        <c:ser>
          <c:idx val="2"/>
          <c:order val="2"/>
          <c:tx>
            <c:strRef>
              <c:f>SMPT!$I$5</c:f>
              <c:strCache>
                <c:ptCount val="1"/>
                <c:pt idx="0">
                  <c:v>Sc_1,3 %</c:v>
                </c:pt>
              </c:strCache>
            </c:strRef>
          </c:tx>
          <c:marker>
            <c:symbol val="none"/>
          </c:marker>
          <c:cat>
            <c:numRef>
              <c:f>SMPT!$B$7:$B$127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SMPT!$I$7:$I$127</c:f>
              <c:numCache>
                <c:formatCode>0.0%</c:formatCode>
                <c:ptCount val="121"/>
                <c:pt idx="0">
                  <c:v>0.13239903612217629</c:v>
                </c:pt>
                <c:pt idx="1">
                  <c:v>0.23757051812913832</c:v>
                </c:pt>
                <c:pt idx="2">
                  <c:v>0.16962131529575708</c:v>
                </c:pt>
                <c:pt idx="3">
                  <c:v>2.5398054000407511E-2</c:v>
                </c:pt>
                <c:pt idx="4">
                  <c:v>6.1802168557338444E-2</c:v>
                </c:pt>
                <c:pt idx="5">
                  <c:v>6.1214738825859705E-2</c:v>
                </c:pt>
                <c:pt idx="6">
                  <c:v>8.2379276866380469E-2</c:v>
                </c:pt>
                <c:pt idx="7">
                  <c:v>0.11386022015070907</c:v>
                </c:pt>
                <c:pt idx="8">
                  <c:v>0.15057418044090198</c:v>
                </c:pt>
                <c:pt idx="9">
                  <c:v>6.8259590331362086E-2</c:v>
                </c:pt>
                <c:pt idx="10">
                  <c:v>9.9413013551563401E-2</c:v>
                </c:pt>
                <c:pt idx="11">
                  <c:v>7.2449408278555172E-2</c:v>
                </c:pt>
                <c:pt idx="12">
                  <c:v>0.13407889620076352</c:v>
                </c:pt>
                <c:pt idx="13">
                  <c:v>0.10025627230819034</c:v>
                </c:pt>
                <c:pt idx="14">
                  <c:v>7.8137673758857273E-2</c:v>
                </c:pt>
                <c:pt idx="15">
                  <c:v>6.5277764672039051E-2</c:v>
                </c:pt>
                <c:pt idx="16">
                  <c:v>6.9652761753262515E-2</c:v>
                </c:pt>
                <c:pt idx="17">
                  <c:v>7.2529316256766174E-2</c:v>
                </c:pt>
                <c:pt idx="18">
                  <c:v>0.1004795421385607</c:v>
                </c:pt>
                <c:pt idx="19">
                  <c:v>0.10203812769804554</c:v>
                </c:pt>
                <c:pt idx="20">
                  <c:v>0.1083632399751373</c:v>
                </c:pt>
                <c:pt idx="21">
                  <c:v>0.10504732790569538</c:v>
                </c:pt>
                <c:pt idx="22">
                  <c:v>0.1153786148253404</c:v>
                </c:pt>
                <c:pt idx="23">
                  <c:v>0.12067652097574078</c:v>
                </c:pt>
                <c:pt idx="24">
                  <c:v>0.15607953424917631</c:v>
                </c:pt>
                <c:pt idx="25">
                  <c:v>0.14929163829730752</c:v>
                </c:pt>
                <c:pt idx="26">
                  <c:v>0.13162188259283703</c:v>
                </c:pt>
                <c:pt idx="27">
                  <c:v>0.11351969344487389</c:v>
                </c:pt>
                <c:pt idx="28">
                  <c:v>0.12954577557462943</c:v>
                </c:pt>
                <c:pt idx="29">
                  <c:v>0.11520883882751543</c:v>
                </c:pt>
                <c:pt idx="30">
                  <c:v>0.13900412125988826</c:v>
                </c:pt>
                <c:pt idx="31">
                  <c:v>0.12329225014094347</c:v>
                </c:pt>
                <c:pt idx="32">
                  <c:v>0.13866039068018399</c:v>
                </c:pt>
                <c:pt idx="33">
                  <c:v>9.2262403399875348E-2</c:v>
                </c:pt>
                <c:pt idx="34">
                  <c:v>6.52058796243975E-2</c:v>
                </c:pt>
                <c:pt idx="35">
                  <c:v>5.7955371688367174E-2</c:v>
                </c:pt>
                <c:pt idx="36">
                  <c:v>4.5287453229215346E-2</c:v>
                </c:pt>
                <c:pt idx="37">
                  <c:v>2.5841633226707295E-2</c:v>
                </c:pt>
                <c:pt idx="38">
                  <c:v>4.3043592059756719E-2</c:v>
                </c:pt>
                <c:pt idx="39">
                  <c:v>5.5811202005634497E-2</c:v>
                </c:pt>
                <c:pt idx="40">
                  <c:v>5.7745904797523728E-2</c:v>
                </c:pt>
                <c:pt idx="41">
                  <c:v>3.6375007698938644E-2</c:v>
                </c:pt>
                <c:pt idx="42">
                  <c:v>3.6726927343456062E-2</c:v>
                </c:pt>
                <c:pt idx="43">
                  <c:v>1.7317023191158798E-2</c:v>
                </c:pt>
                <c:pt idx="44">
                  <c:v>1.7045175406477764E-2</c:v>
                </c:pt>
                <c:pt idx="45">
                  <c:v>2.4423749140604745E-2</c:v>
                </c:pt>
                <c:pt idx="46">
                  <c:v>2.4330792158154813E-2</c:v>
                </c:pt>
                <c:pt idx="47">
                  <c:v>1.4443685778036564E-2</c:v>
                </c:pt>
                <c:pt idx="48">
                  <c:v>2.2077079913713549E-2</c:v>
                </c:pt>
                <c:pt idx="49">
                  <c:v>2.4127683683496048E-2</c:v>
                </c:pt>
                <c:pt idx="50">
                  <c:v>3.4535163620869502E-2</c:v>
                </c:pt>
                <c:pt idx="51">
                  <c:v>3.5192050998508639E-2</c:v>
                </c:pt>
                <c:pt idx="52">
                  <c:v>3.61442029590886E-2</c:v>
                </c:pt>
                <c:pt idx="53">
                  <c:v>2.2825594758775214E-2</c:v>
                </c:pt>
                <c:pt idx="54">
                  <c:v>3.5267551341478187E-2</c:v>
                </c:pt>
                <c:pt idx="55">
                  <c:v>2.4753685003209736E-2</c:v>
                </c:pt>
                <c:pt idx="56">
                  <c:v>3.2628336202813024E-2</c:v>
                </c:pt>
                <c:pt idx="57">
                  <c:v>2.5794164169500977E-2</c:v>
                </c:pt>
                <c:pt idx="58">
                  <c:v>2.3648414424766839E-2</c:v>
                </c:pt>
                <c:pt idx="59">
                  <c:v>1.4211325895518989E-4</c:v>
                </c:pt>
                <c:pt idx="60">
                  <c:v>2.6724575957420837E-2</c:v>
                </c:pt>
                <c:pt idx="61">
                  <c:v>1.2800937850541816E-2</c:v>
                </c:pt>
                <c:pt idx="62">
                  <c:v>1.5030752095945177E-2</c:v>
                </c:pt>
                <c:pt idx="63">
                  <c:v>5.9488454236198418E-3</c:v>
                </c:pt>
                <c:pt idx="64">
                  <c:v>6.6707237198082581E-3</c:v>
                </c:pt>
                <c:pt idx="65">
                  <c:v>1.2022397689117836E-2</c:v>
                </c:pt>
                <c:pt idx="66">
                  <c:v>1.2324937225552945E-2</c:v>
                </c:pt>
                <c:pt idx="67">
                  <c:v>1.99720284887277E-2</c:v>
                </c:pt>
                <c:pt idx="68">
                  <c:v>1.5394925321076558E-2</c:v>
                </c:pt>
                <c:pt idx="69">
                  <c:v>1.5224170894443168E-2</c:v>
                </c:pt>
                <c:pt idx="70">
                  <c:v>-2.3337234961143594E-2</c:v>
                </c:pt>
                <c:pt idx="71">
                  <c:v>4.1329999999999867E-2</c:v>
                </c:pt>
                <c:pt idx="72">
                  <c:v>2.5135999999999825E-2</c:v>
                </c:pt>
                <c:pt idx="73">
                  <c:v>3.6288000000000098E-2</c:v>
                </c:pt>
                <c:pt idx="74">
                  <c:v>2.7179999999999982E-2</c:v>
                </c:pt>
                <c:pt idx="75">
                  <c:v>2.869250000000001E-2</c:v>
                </c:pt>
                <c:pt idx="76">
                  <c:v>2.7675000000000116E-2</c:v>
                </c:pt>
                <c:pt idx="77">
                  <c:v>2.7675000000000116E-2</c:v>
                </c:pt>
                <c:pt idx="78">
                  <c:v>2.7369750000000082E-2</c:v>
                </c:pt>
                <c:pt idx="79">
                  <c:v>2.7980250000000151E-2</c:v>
                </c:pt>
                <c:pt idx="80">
                  <c:v>2.8590749999999998E-2</c:v>
                </c:pt>
                <c:pt idx="81">
                  <c:v>3.0116999999999949E-2</c:v>
                </c:pt>
                <c:pt idx="82">
                  <c:v>3.0727500000000019E-2</c:v>
                </c:pt>
                <c:pt idx="83">
                  <c:v>3.0727500000000019E-2</c:v>
                </c:pt>
                <c:pt idx="84">
                  <c:v>3.0727500000000019E-2</c:v>
                </c:pt>
                <c:pt idx="85">
                  <c:v>3.0727500000000019E-2</c:v>
                </c:pt>
                <c:pt idx="86">
                  <c:v>3.0727500000000019E-2</c:v>
                </c:pt>
                <c:pt idx="87">
                  <c:v>3.0727500000000019E-2</c:v>
                </c:pt>
                <c:pt idx="88">
                  <c:v>3.0727500000000019E-2</c:v>
                </c:pt>
                <c:pt idx="89">
                  <c:v>3.0727500000000019E-2</c:v>
                </c:pt>
                <c:pt idx="90">
                  <c:v>3.0727500000000019E-2</c:v>
                </c:pt>
                <c:pt idx="91">
                  <c:v>3.0727500000000019E-2</c:v>
                </c:pt>
                <c:pt idx="92">
                  <c:v>3.0727500000000019E-2</c:v>
                </c:pt>
                <c:pt idx="93">
                  <c:v>3.0727500000000019E-2</c:v>
                </c:pt>
                <c:pt idx="94">
                  <c:v>3.0727500000000019E-2</c:v>
                </c:pt>
                <c:pt idx="95">
                  <c:v>3.0727500000000019E-2</c:v>
                </c:pt>
                <c:pt idx="96">
                  <c:v>3.0727500000000019E-2</c:v>
                </c:pt>
                <c:pt idx="97">
                  <c:v>3.0727500000000019E-2</c:v>
                </c:pt>
                <c:pt idx="98">
                  <c:v>3.0727500000000019E-2</c:v>
                </c:pt>
                <c:pt idx="99">
                  <c:v>3.0727500000000019E-2</c:v>
                </c:pt>
                <c:pt idx="100">
                  <c:v>3.0727500000000019E-2</c:v>
                </c:pt>
                <c:pt idx="101">
                  <c:v>3.0727500000000019E-2</c:v>
                </c:pt>
                <c:pt idx="102">
                  <c:v>3.0727500000000019E-2</c:v>
                </c:pt>
                <c:pt idx="103">
                  <c:v>3.0727500000000019E-2</c:v>
                </c:pt>
                <c:pt idx="104">
                  <c:v>3.0727500000000019E-2</c:v>
                </c:pt>
                <c:pt idx="105">
                  <c:v>3.0727500000000019E-2</c:v>
                </c:pt>
                <c:pt idx="106">
                  <c:v>3.0727500000000019E-2</c:v>
                </c:pt>
                <c:pt idx="107">
                  <c:v>3.0727500000000019E-2</c:v>
                </c:pt>
                <c:pt idx="108">
                  <c:v>3.0727500000000019E-2</c:v>
                </c:pt>
                <c:pt idx="109">
                  <c:v>3.0727500000000019E-2</c:v>
                </c:pt>
                <c:pt idx="110">
                  <c:v>3.0727500000000019E-2</c:v>
                </c:pt>
                <c:pt idx="111">
                  <c:v>3.0727500000000019E-2</c:v>
                </c:pt>
                <c:pt idx="112">
                  <c:v>3.0727500000000019E-2</c:v>
                </c:pt>
                <c:pt idx="113">
                  <c:v>3.0727500000000019E-2</c:v>
                </c:pt>
                <c:pt idx="114">
                  <c:v>3.0727500000000019E-2</c:v>
                </c:pt>
                <c:pt idx="115">
                  <c:v>3.0727500000000019E-2</c:v>
                </c:pt>
                <c:pt idx="116">
                  <c:v>3.0727500000000019E-2</c:v>
                </c:pt>
                <c:pt idx="117">
                  <c:v>3.0727500000000019E-2</c:v>
                </c:pt>
                <c:pt idx="118">
                  <c:v>3.0727500000000019E-2</c:v>
                </c:pt>
                <c:pt idx="119">
                  <c:v>3.0727500000000019E-2</c:v>
                </c:pt>
                <c:pt idx="120">
                  <c:v>3.0727500000000019E-2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E-4A48-B4BC-3AD49B3305B9}"/>
            </c:ext>
          </c:extLst>
        </c:ser>
        <c:ser>
          <c:idx val="3"/>
          <c:order val="3"/>
          <c:tx>
            <c:strRef>
              <c:f>SMPT!$J$5</c:f>
              <c:strCache>
                <c:ptCount val="1"/>
                <c:pt idx="0">
                  <c:v>Sc_1,0%</c:v>
                </c:pt>
              </c:strCache>
            </c:strRef>
          </c:tx>
          <c:marker>
            <c:symbol val="none"/>
          </c:marker>
          <c:cat>
            <c:numRef>
              <c:f>SMPT!$B$7:$B$127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SMPT!$J$7:$J$127</c:f>
              <c:numCache>
                <c:formatCode>0.0%</c:formatCode>
                <c:ptCount val="121"/>
                <c:pt idx="0">
                  <c:v>0.13239903612217629</c:v>
                </c:pt>
                <c:pt idx="1">
                  <c:v>0.23757051812913832</c:v>
                </c:pt>
                <c:pt idx="2">
                  <c:v>0.16962131529575708</c:v>
                </c:pt>
                <c:pt idx="3">
                  <c:v>2.5398054000407511E-2</c:v>
                </c:pt>
                <c:pt idx="4">
                  <c:v>6.1802168557338444E-2</c:v>
                </c:pt>
                <c:pt idx="5">
                  <c:v>6.1214738825859705E-2</c:v>
                </c:pt>
                <c:pt idx="6">
                  <c:v>8.2379276866380469E-2</c:v>
                </c:pt>
                <c:pt idx="7">
                  <c:v>0.11386022015070907</c:v>
                </c:pt>
                <c:pt idx="8">
                  <c:v>0.15057418044090198</c:v>
                </c:pt>
                <c:pt idx="9">
                  <c:v>6.8259590331362086E-2</c:v>
                </c:pt>
                <c:pt idx="10">
                  <c:v>9.9413013551563401E-2</c:v>
                </c:pt>
                <c:pt idx="11">
                  <c:v>7.2449408278555172E-2</c:v>
                </c:pt>
                <c:pt idx="12">
                  <c:v>0.13407889620076352</c:v>
                </c:pt>
                <c:pt idx="13">
                  <c:v>0.10025627230819034</c:v>
                </c:pt>
                <c:pt idx="14">
                  <c:v>7.8137673758857273E-2</c:v>
                </c:pt>
                <c:pt idx="15">
                  <c:v>6.5277764672039051E-2</c:v>
                </c:pt>
                <c:pt idx="16">
                  <c:v>6.9652761753262515E-2</c:v>
                </c:pt>
                <c:pt idx="17">
                  <c:v>7.2529316256766174E-2</c:v>
                </c:pt>
                <c:pt idx="18">
                  <c:v>0.1004795421385607</c:v>
                </c:pt>
                <c:pt idx="19">
                  <c:v>0.10203812769804554</c:v>
                </c:pt>
                <c:pt idx="20">
                  <c:v>0.1083632399751373</c:v>
                </c:pt>
                <c:pt idx="21">
                  <c:v>0.10504732790569538</c:v>
                </c:pt>
                <c:pt idx="22">
                  <c:v>0.1153786148253404</c:v>
                </c:pt>
                <c:pt idx="23">
                  <c:v>0.12067652097574078</c:v>
                </c:pt>
                <c:pt idx="24">
                  <c:v>0.15607953424917631</c:v>
                </c:pt>
                <c:pt idx="25">
                  <c:v>0.14929163829730752</c:v>
                </c:pt>
                <c:pt idx="26">
                  <c:v>0.13162188259283703</c:v>
                </c:pt>
                <c:pt idx="27">
                  <c:v>0.11351969344487389</c:v>
                </c:pt>
                <c:pt idx="28">
                  <c:v>0.12954577557462943</c:v>
                </c:pt>
                <c:pt idx="29">
                  <c:v>0.11520883882751543</c:v>
                </c:pt>
                <c:pt idx="30">
                  <c:v>0.13900412125988826</c:v>
                </c:pt>
                <c:pt idx="31">
                  <c:v>0.12329225014094347</c:v>
                </c:pt>
                <c:pt idx="32">
                  <c:v>0.13866039068018399</c:v>
                </c:pt>
                <c:pt idx="33">
                  <c:v>9.2262403399875348E-2</c:v>
                </c:pt>
                <c:pt idx="34">
                  <c:v>6.52058796243975E-2</c:v>
                </c:pt>
                <c:pt idx="35">
                  <c:v>5.7955371688367174E-2</c:v>
                </c:pt>
                <c:pt idx="36">
                  <c:v>4.5287453229215346E-2</c:v>
                </c:pt>
                <c:pt idx="37">
                  <c:v>2.5841633226707295E-2</c:v>
                </c:pt>
                <c:pt idx="38">
                  <c:v>4.3043592059756719E-2</c:v>
                </c:pt>
                <c:pt idx="39">
                  <c:v>5.5811202005634497E-2</c:v>
                </c:pt>
                <c:pt idx="40">
                  <c:v>5.7745904797523728E-2</c:v>
                </c:pt>
                <c:pt idx="41">
                  <c:v>3.6375007698938644E-2</c:v>
                </c:pt>
                <c:pt idx="42">
                  <c:v>3.6726927343456062E-2</c:v>
                </c:pt>
                <c:pt idx="43">
                  <c:v>1.7317023191158798E-2</c:v>
                </c:pt>
                <c:pt idx="44">
                  <c:v>1.7045175406477764E-2</c:v>
                </c:pt>
                <c:pt idx="45">
                  <c:v>2.4423749140604745E-2</c:v>
                </c:pt>
                <c:pt idx="46">
                  <c:v>2.4330792158154813E-2</c:v>
                </c:pt>
                <c:pt idx="47">
                  <c:v>1.4443685778036564E-2</c:v>
                </c:pt>
                <c:pt idx="48">
                  <c:v>2.2077079913713549E-2</c:v>
                </c:pt>
                <c:pt idx="49">
                  <c:v>2.4127683683496048E-2</c:v>
                </c:pt>
                <c:pt idx="50">
                  <c:v>3.4535163620869502E-2</c:v>
                </c:pt>
                <c:pt idx="51">
                  <c:v>3.5192050998508639E-2</c:v>
                </c:pt>
                <c:pt idx="52">
                  <c:v>3.61442029590886E-2</c:v>
                </c:pt>
                <c:pt idx="53">
                  <c:v>2.2825594758775214E-2</c:v>
                </c:pt>
                <c:pt idx="54">
                  <c:v>3.5267551341478187E-2</c:v>
                </c:pt>
                <c:pt idx="55">
                  <c:v>2.4753685003209736E-2</c:v>
                </c:pt>
                <c:pt idx="56">
                  <c:v>3.2628336202813024E-2</c:v>
                </c:pt>
                <c:pt idx="57">
                  <c:v>2.5794164169500977E-2</c:v>
                </c:pt>
                <c:pt idx="58">
                  <c:v>2.3648414424766839E-2</c:v>
                </c:pt>
                <c:pt idx="59">
                  <c:v>1.4211325895518989E-4</c:v>
                </c:pt>
                <c:pt idx="60">
                  <c:v>2.6724575957420837E-2</c:v>
                </c:pt>
                <c:pt idx="61">
                  <c:v>1.2800937850541816E-2</c:v>
                </c:pt>
                <c:pt idx="62">
                  <c:v>1.5030752095945177E-2</c:v>
                </c:pt>
                <c:pt idx="63">
                  <c:v>5.9488454236198418E-3</c:v>
                </c:pt>
                <c:pt idx="64">
                  <c:v>6.6707237198082581E-3</c:v>
                </c:pt>
                <c:pt idx="65">
                  <c:v>1.2022397689117836E-2</c:v>
                </c:pt>
                <c:pt idx="66">
                  <c:v>1.2324937225552945E-2</c:v>
                </c:pt>
                <c:pt idx="67">
                  <c:v>1.99720284887277E-2</c:v>
                </c:pt>
                <c:pt idx="68">
                  <c:v>1.5394925321076558E-2</c:v>
                </c:pt>
                <c:pt idx="69">
                  <c:v>1.5224170894443168E-2</c:v>
                </c:pt>
                <c:pt idx="70">
                  <c:v>-2.3337234961143594E-2</c:v>
                </c:pt>
                <c:pt idx="71">
                  <c:v>4.1329999999999867E-2</c:v>
                </c:pt>
                <c:pt idx="72">
                  <c:v>2.5135999999999825E-2</c:v>
                </c:pt>
                <c:pt idx="73">
                  <c:v>3.6288000000000098E-2</c:v>
                </c:pt>
                <c:pt idx="74">
                  <c:v>2.7179999999999982E-2</c:v>
                </c:pt>
                <c:pt idx="75">
                  <c:v>2.869250000000001E-2</c:v>
                </c:pt>
                <c:pt idx="76">
                  <c:v>2.7675000000000116E-2</c:v>
                </c:pt>
                <c:pt idx="77">
                  <c:v>2.7675000000000116E-2</c:v>
                </c:pt>
                <c:pt idx="78">
                  <c:v>2.6759250000000234E-2</c:v>
                </c:pt>
                <c:pt idx="79">
                  <c:v>2.6759250000000234E-2</c:v>
                </c:pt>
                <c:pt idx="80">
                  <c:v>2.6759250000000234E-2</c:v>
                </c:pt>
                <c:pt idx="81">
                  <c:v>2.7675000000000116E-2</c:v>
                </c:pt>
                <c:pt idx="82">
                  <c:v>2.7675000000000116E-2</c:v>
                </c:pt>
                <c:pt idx="83">
                  <c:v>2.7675000000000116E-2</c:v>
                </c:pt>
                <c:pt idx="84">
                  <c:v>2.7675000000000116E-2</c:v>
                </c:pt>
                <c:pt idx="85">
                  <c:v>2.7675000000000116E-2</c:v>
                </c:pt>
                <c:pt idx="86">
                  <c:v>2.7675000000000116E-2</c:v>
                </c:pt>
                <c:pt idx="87">
                  <c:v>2.7675000000000116E-2</c:v>
                </c:pt>
                <c:pt idx="88">
                  <c:v>2.7675000000000116E-2</c:v>
                </c:pt>
                <c:pt idx="89">
                  <c:v>2.7675000000000116E-2</c:v>
                </c:pt>
                <c:pt idx="90">
                  <c:v>2.7675000000000116E-2</c:v>
                </c:pt>
                <c:pt idx="91">
                  <c:v>2.7675000000000116E-2</c:v>
                </c:pt>
                <c:pt idx="92">
                  <c:v>2.7675000000000116E-2</c:v>
                </c:pt>
                <c:pt idx="93">
                  <c:v>2.7675000000000116E-2</c:v>
                </c:pt>
                <c:pt idx="94">
                  <c:v>2.7675000000000116E-2</c:v>
                </c:pt>
                <c:pt idx="95">
                  <c:v>2.7675000000000116E-2</c:v>
                </c:pt>
                <c:pt idx="96">
                  <c:v>2.7675000000000116E-2</c:v>
                </c:pt>
                <c:pt idx="97">
                  <c:v>2.7675000000000116E-2</c:v>
                </c:pt>
                <c:pt idx="98">
                  <c:v>2.7675000000000116E-2</c:v>
                </c:pt>
                <c:pt idx="99">
                  <c:v>2.7675000000000116E-2</c:v>
                </c:pt>
                <c:pt idx="100">
                  <c:v>2.7675000000000116E-2</c:v>
                </c:pt>
                <c:pt idx="101">
                  <c:v>2.7675000000000116E-2</c:v>
                </c:pt>
                <c:pt idx="102">
                  <c:v>2.7675000000000116E-2</c:v>
                </c:pt>
                <c:pt idx="103">
                  <c:v>2.7675000000000116E-2</c:v>
                </c:pt>
                <c:pt idx="104">
                  <c:v>2.7675000000000116E-2</c:v>
                </c:pt>
                <c:pt idx="105">
                  <c:v>2.7675000000000116E-2</c:v>
                </c:pt>
                <c:pt idx="106">
                  <c:v>2.7675000000000116E-2</c:v>
                </c:pt>
                <c:pt idx="107">
                  <c:v>2.7675000000000116E-2</c:v>
                </c:pt>
                <c:pt idx="108">
                  <c:v>2.7675000000000116E-2</c:v>
                </c:pt>
                <c:pt idx="109">
                  <c:v>2.7675000000000116E-2</c:v>
                </c:pt>
                <c:pt idx="110">
                  <c:v>2.7675000000000116E-2</c:v>
                </c:pt>
                <c:pt idx="111">
                  <c:v>2.7675000000000116E-2</c:v>
                </c:pt>
                <c:pt idx="112">
                  <c:v>2.7675000000000116E-2</c:v>
                </c:pt>
                <c:pt idx="113">
                  <c:v>2.7675000000000116E-2</c:v>
                </c:pt>
                <c:pt idx="114">
                  <c:v>2.7675000000000116E-2</c:v>
                </c:pt>
                <c:pt idx="115">
                  <c:v>2.7675000000000116E-2</c:v>
                </c:pt>
                <c:pt idx="116">
                  <c:v>2.7675000000000116E-2</c:v>
                </c:pt>
                <c:pt idx="117">
                  <c:v>2.7675000000000116E-2</c:v>
                </c:pt>
                <c:pt idx="118">
                  <c:v>2.7675000000000116E-2</c:v>
                </c:pt>
                <c:pt idx="119">
                  <c:v>2.7675000000000116E-2</c:v>
                </c:pt>
                <c:pt idx="120">
                  <c:v>2.7675000000000116E-2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E-4A48-B4BC-3AD49B330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13120"/>
        <c:axId val="105815040"/>
      </c:lineChart>
      <c:catAx>
        <c:axId val="1058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15040"/>
        <c:crosses val="autoZero"/>
        <c:auto val="1"/>
        <c:lblAlgn val="ctr"/>
        <c:lblOffset val="100"/>
        <c:noMultiLvlLbl val="0"/>
      </c:catAx>
      <c:valAx>
        <c:axId val="105815040"/>
        <c:scaling>
          <c:orientation val="minMax"/>
          <c:max val="0.1"/>
          <c:min val="-2.0000000000000004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581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4</xdr:col>
      <xdr:colOff>104775</xdr:colOff>
      <xdr:row>6</xdr:row>
      <xdr:rowOff>19050</xdr:rowOff>
    </xdr:to>
    <xdr:pic>
      <xdr:nvPicPr>
        <xdr:cNvPr id="2" name="Image 1" descr="Logo C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2809875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25</xdr:row>
      <xdr:rowOff>38100</xdr:rowOff>
    </xdr:from>
    <xdr:to>
      <xdr:col>9</xdr:col>
      <xdr:colOff>143641</xdr:colOff>
      <xdr:row>40</xdr:row>
      <xdr:rowOff>28973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4800600"/>
          <a:ext cx="5487166" cy="2848373"/>
        </a:xfrm>
        <a:prstGeom prst="rect">
          <a:avLst/>
        </a:prstGeom>
      </xdr:spPr>
    </xdr:pic>
    <xdr:clientData/>
  </xdr:twoCellAnchor>
  <xdr:twoCellAnchor editAs="oneCell">
    <xdr:from>
      <xdr:col>9</xdr:col>
      <xdr:colOff>266699</xdr:colOff>
      <xdr:row>25</xdr:row>
      <xdr:rowOff>155187</xdr:rowOff>
    </xdr:from>
    <xdr:to>
      <xdr:col>16</xdr:col>
      <xdr:colOff>601382</xdr:colOff>
      <xdr:row>38</xdr:row>
      <xdr:rowOff>29116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24699" y="4917687"/>
          <a:ext cx="5668683" cy="2350429"/>
        </a:xfrm>
        <a:prstGeom prst="rect">
          <a:avLst/>
        </a:prstGeom>
      </xdr:spPr>
    </xdr:pic>
    <xdr:clientData/>
  </xdr:twoCellAnchor>
  <xdr:twoCellAnchor editAs="oneCell">
    <xdr:from>
      <xdr:col>9</xdr:col>
      <xdr:colOff>631649</xdr:colOff>
      <xdr:row>39</xdr:row>
      <xdr:rowOff>152399</xdr:rowOff>
    </xdr:from>
    <xdr:to>
      <xdr:col>17</xdr:col>
      <xdr:colOff>153586</xdr:colOff>
      <xdr:row>57</xdr:row>
      <xdr:rowOff>38800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89649" y="7581899"/>
          <a:ext cx="5617937" cy="3315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98</xdr:row>
      <xdr:rowOff>66675</xdr:rowOff>
    </xdr:from>
    <xdr:to>
      <xdr:col>28</xdr:col>
      <xdr:colOff>228600</xdr:colOff>
      <xdr:row>112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or-retraites.f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L95"/>
  <sheetViews>
    <sheetView tabSelected="1" workbookViewId="0">
      <selection activeCell="F41" sqref="F41"/>
    </sheetView>
  </sheetViews>
  <sheetFormatPr baseColWidth="10" defaultRowHeight="15" x14ac:dyDescent="0.25"/>
  <cols>
    <col min="1" max="1" width="3.5703125" style="45" customWidth="1"/>
    <col min="2" max="2" width="4" style="45" customWidth="1"/>
    <col min="3" max="4" width="18.42578125" style="45" customWidth="1"/>
    <col min="5" max="5" width="4.7109375" style="45" customWidth="1"/>
    <col min="6" max="10" width="14.140625" style="45" customWidth="1"/>
    <col min="11" max="11" width="4" style="45" customWidth="1"/>
    <col min="12" max="16384" width="11.42578125" style="45"/>
  </cols>
  <sheetData>
    <row r="1" spans="2:12" ht="15" customHeight="1" x14ac:dyDescent="0.25">
      <c r="G1" s="757" t="s">
        <v>286</v>
      </c>
      <c r="H1" s="757"/>
      <c r="I1" s="757"/>
      <c r="J1" s="757"/>
      <c r="K1" s="757"/>
      <c r="L1" s="745"/>
    </row>
    <row r="2" spans="2:12" ht="15" customHeight="1" x14ac:dyDescent="0.25">
      <c r="G2" s="757"/>
      <c r="H2" s="757"/>
      <c r="I2" s="757"/>
      <c r="J2" s="757"/>
      <c r="K2" s="757"/>
      <c r="L2" s="745"/>
    </row>
    <row r="3" spans="2:12" ht="15" customHeight="1" x14ac:dyDescent="0.25">
      <c r="G3" s="757"/>
      <c r="H3" s="757"/>
      <c r="I3" s="757"/>
      <c r="J3" s="757"/>
      <c r="K3" s="757"/>
      <c r="L3" s="745"/>
    </row>
    <row r="4" spans="2:12" ht="15" customHeight="1" x14ac:dyDescent="0.25">
      <c r="G4" s="757"/>
      <c r="H4" s="757"/>
      <c r="I4" s="757"/>
      <c r="J4" s="757"/>
      <c r="K4" s="757"/>
      <c r="L4" s="745"/>
    </row>
    <row r="5" spans="2:12" ht="15" customHeight="1" x14ac:dyDescent="0.25">
      <c r="G5" s="757"/>
      <c r="H5" s="757"/>
      <c r="I5" s="757"/>
      <c r="J5" s="757"/>
      <c r="K5" s="757"/>
      <c r="L5" s="745"/>
    </row>
    <row r="6" spans="2:12" ht="15" customHeight="1" x14ac:dyDescent="0.25">
      <c r="G6" s="757"/>
      <c r="H6" s="757"/>
      <c r="I6" s="757"/>
      <c r="J6" s="757"/>
      <c r="K6" s="757"/>
      <c r="L6" s="745"/>
    </row>
    <row r="7" spans="2:12" ht="15.75" thickBot="1" x14ac:dyDescent="0.3"/>
    <row r="8" spans="2:12" x14ac:dyDescent="0.25">
      <c r="B8" s="713"/>
      <c r="C8" s="714"/>
      <c r="D8" s="714"/>
      <c r="E8" s="714"/>
      <c r="F8" s="714"/>
      <c r="G8" s="714"/>
      <c r="H8" s="714"/>
      <c r="I8" s="714"/>
      <c r="J8" s="714"/>
      <c r="K8" s="715"/>
    </row>
    <row r="9" spans="2:12" ht="21" x14ac:dyDescent="0.25">
      <c r="B9" s="716"/>
      <c r="C9" s="734" t="s">
        <v>396</v>
      </c>
      <c r="D9" s="718"/>
      <c r="E9" s="718"/>
      <c r="F9" s="718"/>
      <c r="G9" s="718"/>
      <c r="H9" s="718"/>
      <c r="I9" s="718"/>
      <c r="J9" s="718"/>
      <c r="K9" s="719"/>
    </row>
    <row r="10" spans="2:12" x14ac:dyDescent="0.25">
      <c r="B10" s="716"/>
      <c r="C10" s="720"/>
      <c r="D10" s="718"/>
      <c r="E10" s="718"/>
      <c r="F10" s="718"/>
      <c r="G10" s="718"/>
      <c r="H10" s="718"/>
      <c r="I10" s="718"/>
      <c r="J10" s="718"/>
      <c r="K10" s="719"/>
    </row>
    <row r="11" spans="2:12" x14ac:dyDescent="0.25">
      <c r="B11" s="716"/>
      <c r="C11" s="720" t="s">
        <v>449</v>
      </c>
      <c r="D11" s="718"/>
      <c r="E11" s="718"/>
      <c r="F11" s="718"/>
      <c r="G11" s="718"/>
      <c r="H11" s="718"/>
      <c r="I11" s="718"/>
      <c r="J11" s="718"/>
      <c r="K11" s="719"/>
    </row>
    <row r="12" spans="2:12" x14ac:dyDescent="0.25">
      <c r="B12" s="716"/>
      <c r="C12" s="720" t="s">
        <v>435</v>
      </c>
      <c r="D12" s="718"/>
      <c r="E12" s="718"/>
      <c r="F12" s="718"/>
      <c r="G12" s="718"/>
      <c r="H12" s="718"/>
      <c r="I12" s="718"/>
      <c r="J12" s="718"/>
      <c r="K12" s="719"/>
    </row>
    <row r="13" spans="2:12" x14ac:dyDescent="0.25">
      <c r="B13" s="716"/>
      <c r="C13" s="717" t="s">
        <v>445</v>
      </c>
      <c r="D13" s="718"/>
      <c r="E13" s="718"/>
      <c r="F13" s="718"/>
      <c r="G13" s="718"/>
      <c r="H13" s="718"/>
      <c r="I13" s="718"/>
      <c r="J13" s="718"/>
      <c r="K13" s="719"/>
    </row>
    <row r="14" spans="2:12" ht="15.75" thickBot="1" x14ac:dyDescent="0.3">
      <c r="B14" s="721"/>
      <c r="C14" s="722"/>
      <c r="D14" s="723"/>
      <c r="E14" s="723"/>
      <c r="F14" s="723"/>
      <c r="G14" s="723"/>
      <c r="H14" s="723"/>
      <c r="I14" s="723"/>
      <c r="J14" s="723"/>
      <c r="K14" s="724"/>
    </row>
    <row r="15" spans="2:12" ht="15.75" customHeight="1" thickBot="1" x14ac:dyDescent="0.3">
      <c r="C15" s="710"/>
    </row>
    <row r="16" spans="2:12" ht="15.75" customHeight="1" x14ac:dyDescent="0.25">
      <c r="B16" s="713"/>
      <c r="C16" s="725"/>
      <c r="D16" s="714"/>
      <c r="E16" s="714"/>
      <c r="F16" s="714"/>
      <c r="G16" s="714"/>
      <c r="H16" s="714"/>
      <c r="I16" s="714"/>
      <c r="J16" s="714"/>
      <c r="K16" s="715"/>
    </row>
    <row r="17" spans="2:11" ht="21" x14ac:dyDescent="0.25">
      <c r="B17" s="716"/>
      <c r="C17" s="734" t="s">
        <v>397</v>
      </c>
      <c r="D17" s="718"/>
      <c r="E17" s="718"/>
      <c r="F17" s="718"/>
      <c r="G17" s="718"/>
      <c r="H17" s="718"/>
      <c r="I17" s="718"/>
      <c r="J17" s="718"/>
      <c r="K17" s="719"/>
    </row>
    <row r="18" spans="2:11" s="712" customFormat="1" x14ac:dyDescent="0.25">
      <c r="B18" s="726"/>
      <c r="C18" s="727"/>
      <c r="D18" s="728"/>
      <c r="E18" s="728"/>
      <c r="F18" s="728"/>
      <c r="G18" s="728"/>
      <c r="H18" s="728"/>
      <c r="I18" s="728"/>
      <c r="J18" s="728"/>
      <c r="K18" s="729"/>
    </row>
    <row r="19" spans="2:11" s="712" customFormat="1" x14ac:dyDescent="0.25">
      <c r="B19" s="726"/>
      <c r="C19" s="753" t="s">
        <v>456</v>
      </c>
      <c r="D19" s="754"/>
      <c r="E19" s="754"/>
      <c r="F19" s="754"/>
      <c r="G19" s="754"/>
      <c r="H19" s="754"/>
      <c r="I19" s="754"/>
      <c r="J19" s="754"/>
      <c r="K19" s="729"/>
    </row>
    <row r="20" spans="2:11" s="712" customFormat="1" x14ac:dyDescent="0.25">
      <c r="B20" s="726"/>
      <c r="C20" s="727"/>
      <c r="D20" s="728"/>
      <c r="E20" s="728"/>
      <c r="F20" s="728"/>
      <c r="G20" s="728"/>
      <c r="H20" s="728"/>
      <c r="I20" s="728"/>
      <c r="J20" s="728"/>
      <c r="K20" s="729"/>
    </row>
    <row r="21" spans="2:11" s="712" customFormat="1" x14ac:dyDescent="0.25">
      <c r="B21" s="726"/>
      <c r="C21" s="727" t="s">
        <v>448</v>
      </c>
      <c r="D21" s="728"/>
      <c r="E21" s="728"/>
      <c r="F21" s="728"/>
      <c r="G21" s="728"/>
      <c r="H21" s="728"/>
      <c r="I21" s="728"/>
      <c r="J21" s="728"/>
      <c r="K21" s="729"/>
    </row>
    <row r="22" spans="2:11" s="712" customFormat="1" x14ac:dyDescent="0.25">
      <c r="B22" s="726"/>
      <c r="C22" s="740" t="s">
        <v>436</v>
      </c>
      <c r="D22" s="728"/>
      <c r="E22" s="728"/>
      <c r="F22" s="728"/>
      <c r="G22" s="728"/>
      <c r="H22" s="728"/>
      <c r="I22" s="728"/>
      <c r="J22" s="728"/>
      <c r="K22" s="729"/>
    </row>
    <row r="23" spans="2:11" s="712" customFormat="1" x14ac:dyDescent="0.25">
      <c r="B23" s="726"/>
      <c r="C23" s="740" t="s">
        <v>423</v>
      </c>
      <c r="D23" s="728"/>
      <c r="E23" s="728"/>
      <c r="F23" s="728"/>
      <c r="G23" s="728"/>
      <c r="H23" s="728"/>
      <c r="I23" s="728"/>
      <c r="J23" s="728"/>
      <c r="K23" s="729"/>
    </row>
    <row r="24" spans="2:11" s="712" customFormat="1" x14ac:dyDescent="0.25">
      <c r="B24" s="726"/>
      <c r="C24" s="727" t="s">
        <v>424</v>
      </c>
      <c r="D24" s="728"/>
      <c r="E24" s="728"/>
      <c r="F24" s="728"/>
      <c r="G24" s="728"/>
      <c r="H24" s="728"/>
      <c r="I24" s="728"/>
      <c r="J24" s="728"/>
      <c r="K24" s="729"/>
    </row>
    <row r="25" spans="2:11" s="712" customFormat="1" x14ac:dyDescent="0.25">
      <c r="B25" s="726"/>
      <c r="C25" s="740" t="s">
        <v>425</v>
      </c>
      <c r="D25" s="728"/>
      <c r="E25" s="728"/>
      <c r="F25" s="728"/>
      <c r="G25" s="728"/>
      <c r="H25" s="728"/>
      <c r="I25" s="728"/>
      <c r="J25" s="728"/>
      <c r="K25" s="729"/>
    </row>
    <row r="26" spans="2:11" s="712" customFormat="1" x14ac:dyDescent="0.25">
      <c r="B26" s="726"/>
      <c r="C26" s="740" t="s">
        <v>426</v>
      </c>
      <c r="D26" s="728"/>
      <c r="E26" s="728"/>
      <c r="F26" s="728"/>
      <c r="G26" s="728"/>
      <c r="H26" s="728"/>
      <c r="I26" s="728"/>
      <c r="J26" s="728"/>
      <c r="K26" s="729"/>
    </row>
    <row r="27" spans="2:11" s="712" customFormat="1" x14ac:dyDescent="0.25">
      <c r="B27" s="726"/>
      <c r="C27" s="740" t="s">
        <v>427</v>
      </c>
      <c r="D27" s="728"/>
      <c r="E27" s="728"/>
      <c r="F27" s="728"/>
      <c r="G27" s="728"/>
      <c r="H27" s="728"/>
      <c r="I27" s="728"/>
      <c r="J27" s="728"/>
      <c r="K27" s="729"/>
    </row>
    <row r="28" spans="2:11" s="712" customFormat="1" x14ac:dyDescent="0.25">
      <c r="B28" s="726"/>
      <c r="C28" s="740" t="s">
        <v>428</v>
      </c>
      <c r="D28" s="728"/>
      <c r="E28" s="728"/>
      <c r="F28" s="728"/>
      <c r="G28" s="728"/>
      <c r="H28" s="728"/>
      <c r="I28" s="728"/>
      <c r="J28" s="728"/>
      <c r="K28" s="729"/>
    </row>
    <row r="29" spans="2:11" s="712" customFormat="1" x14ac:dyDescent="0.25">
      <c r="B29" s="726"/>
      <c r="C29" s="740" t="s">
        <v>429</v>
      </c>
      <c r="D29" s="728"/>
      <c r="E29" s="728"/>
      <c r="F29" s="728"/>
      <c r="G29" s="728"/>
      <c r="H29" s="728"/>
      <c r="I29" s="728"/>
      <c r="J29" s="728"/>
      <c r="K29" s="729"/>
    </row>
    <row r="30" spans="2:11" s="712" customFormat="1" x14ac:dyDescent="0.25">
      <c r="B30" s="726"/>
      <c r="C30" s="727"/>
      <c r="D30" s="728"/>
      <c r="E30" s="728"/>
      <c r="F30" s="728"/>
      <c r="G30" s="728"/>
      <c r="H30" s="728"/>
      <c r="I30" s="728"/>
      <c r="J30" s="728"/>
      <c r="K30" s="729"/>
    </row>
    <row r="31" spans="2:11" s="712" customFormat="1" x14ac:dyDescent="0.25">
      <c r="B31" s="726"/>
      <c r="C31" s="755" t="s">
        <v>458</v>
      </c>
      <c r="D31" s="756"/>
      <c r="E31" s="756"/>
      <c r="F31" s="756"/>
      <c r="G31" s="756"/>
      <c r="H31" s="756"/>
      <c r="I31" s="756"/>
      <c r="J31" s="756"/>
      <c r="K31" s="729"/>
    </row>
    <row r="32" spans="2:11" s="712" customFormat="1" x14ac:dyDescent="0.25">
      <c r="B32" s="726"/>
      <c r="C32" s="727" t="s">
        <v>457</v>
      </c>
      <c r="D32" s="728"/>
      <c r="E32" s="728"/>
      <c r="F32" s="728"/>
      <c r="G32" s="728"/>
      <c r="H32" s="728"/>
      <c r="I32" s="728"/>
      <c r="J32" s="728"/>
      <c r="K32" s="729"/>
    </row>
    <row r="33" spans="2:11" s="712" customFormat="1" x14ac:dyDescent="0.25">
      <c r="B33" s="726"/>
      <c r="C33" s="727" t="s">
        <v>437</v>
      </c>
      <c r="D33" s="728"/>
      <c r="E33" s="728"/>
      <c r="F33" s="728"/>
      <c r="G33" s="728"/>
      <c r="H33" s="728"/>
      <c r="I33" s="728"/>
      <c r="J33" s="728"/>
      <c r="K33" s="729"/>
    </row>
    <row r="34" spans="2:11" s="712" customFormat="1" ht="15.75" thickBot="1" x14ac:dyDescent="0.3">
      <c r="B34" s="730"/>
      <c r="C34" s="731"/>
      <c r="D34" s="732"/>
      <c r="E34" s="732"/>
      <c r="F34" s="732"/>
      <c r="G34" s="732"/>
      <c r="H34" s="732"/>
      <c r="I34" s="732"/>
      <c r="J34" s="732"/>
      <c r="K34" s="733"/>
    </row>
    <row r="35" spans="2:11" s="712" customFormat="1" ht="15.75" thickBot="1" x14ac:dyDescent="0.3">
      <c r="C35" s="711"/>
    </row>
    <row r="36" spans="2:11" s="712" customFormat="1" x14ac:dyDescent="0.25">
      <c r="B36" s="735"/>
      <c r="C36" s="736"/>
      <c r="D36" s="737"/>
      <c r="E36" s="737"/>
      <c r="F36" s="737"/>
      <c r="G36" s="737"/>
      <c r="H36" s="737"/>
      <c r="I36" s="737"/>
      <c r="J36" s="737"/>
      <c r="K36" s="738"/>
    </row>
    <row r="37" spans="2:11" ht="21" x14ac:dyDescent="0.25">
      <c r="B37" s="716"/>
      <c r="C37" s="734" t="s">
        <v>398</v>
      </c>
      <c r="D37" s="718"/>
      <c r="E37" s="718"/>
      <c r="F37" s="718"/>
      <c r="G37" s="718"/>
      <c r="H37" s="718"/>
      <c r="I37" s="718"/>
      <c r="J37" s="718"/>
      <c r="K37" s="719"/>
    </row>
    <row r="38" spans="2:11" s="712" customFormat="1" x14ac:dyDescent="0.25">
      <c r="B38" s="726"/>
      <c r="C38" s="727"/>
      <c r="D38" s="728"/>
      <c r="E38" s="728"/>
      <c r="F38" s="728"/>
      <c r="G38" s="728"/>
      <c r="H38" s="728"/>
      <c r="I38" s="728"/>
      <c r="J38" s="728"/>
      <c r="K38" s="729"/>
    </row>
    <row r="39" spans="2:11" s="712" customFormat="1" x14ac:dyDescent="0.25">
      <c r="B39" s="726"/>
      <c r="C39" s="727" t="s">
        <v>408</v>
      </c>
      <c r="D39" s="728"/>
      <c r="E39" s="728"/>
      <c r="F39" s="728"/>
      <c r="G39" s="728"/>
      <c r="H39" s="728"/>
      <c r="I39" s="728"/>
      <c r="J39" s="728"/>
      <c r="K39" s="729"/>
    </row>
    <row r="40" spans="2:11" s="712" customFormat="1" x14ac:dyDescent="0.25">
      <c r="B40" s="726"/>
      <c r="C40" s="727"/>
      <c r="D40" s="728"/>
      <c r="E40" s="728"/>
      <c r="F40" s="728"/>
      <c r="G40" s="728"/>
      <c r="H40" s="728"/>
      <c r="I40" s="728"/>
      <c r="J40" s="728"/>
      <c r="K40" s="729"/>
    </row>
    <row r="41" spans="2:11" s="712" customFormat="1" ht="15.75" x14ac:dyDescent="0.25">
      <c r="B41" s="726"/>
      <c r="C41" s="746" t="s">
        <v>450</v>
      </c>
      <c r="D41" s="747"/>
      <c r="E41" s="728"/>
      <c r="F41" s="748" t="s">
        <v>451</v>
      </c>
      <c r="G41" s="749"/>
      <c r="H41" s="749"/>
      <c r="I41" s="749"/>
      <c r="J41" s="749"/>
      <c r="K41" s="729"/>
    </row>
    <row r="42" spans="2:11" s="712" customFormat="1" x14ac:dyDescent="0.25">
      <c r="B42" s="726"/>
      <c r="C42" s="739" t="s">
        <v>34</v>
      </c>
      <c r="E42" s="728"/>
      <c r="F42" s="739" t="s">
        <v>260</v>
      </c>
      <c r="G42" s="728"/>
      <c r="H42" s="728"/>
      <c r="I42" s="728"/>
      <c r="J42" s="728"/>
      <c r="K42" s="729"/>
    </row>
    <row r="43" spans="2:11" s="712" customFormat="1" x14ac:dyDescent="0.25">
      <c r="B43" s="726"/>
      <c r="C43" s="739" t="s">
        <v>55</v>
      </c>
      <c r="E43" s="728"/>
      <c r="F43" s="739" t="s">
        <v>285</v>
      </c>
      <c r="G43" s="728"/>
      <c r="H43" s="728"/>
      <c r="I43" s="728"/>
      <c r="J43" s="728"/>
      <c r="K43" s="729"/>
    </row>
    <row r="44" spans="2:11" s="712" customFormat="1" x14ac:dyDescent="0.25">
      <c r="B44" s="726"/>
      <c r="C44" s="739" t="s">
        <v>50</v>
      </c>
      <c r="E44" s="728"/>
      <c r="F44" s="739" t="s">
        <v>244</v>
      </c>
      <c r="G44" s="728"/>
      <c r="H44" s="728"/>
      <c r="I44" s="728"/>
      <c r="J44" s="728"/>
      <c r="K44" s="729"/>
    </row>
    <row r="45" spans="2:11" s="712" customFormat="1" x14ac:dyDescent="0.25">
      <c r="B45" s="726"/>
      <c r="C45" s="739" t="s">
        <v>35</v>
      </c>
      <c r="E45" s="728"/>
      <c r="F45" s="739" t="s">
        <v>359</v>
      </c>
      <c r="G45" s="728"/>
      <c r="H45" s="728"/>
      <c r="I45" s="728"/>
      <c r="J45" s="728"/>
      <c r="K45" s="729"/>
    </row>
    <row r="46" spans="2:11" s="712" customFormat="1" x14ac:dyDescent="0.25">
      <c r="B46" s="726"/>
      <c r="C46" s="739" t="s">
        <v>276</v>
      </c>
      <c r="E46" s="728"/>
      <c r="F46" s="739" t="s">
        <v>246</v>
      </c>
      <c r="G46" s="728"/>
      <c r="H46" s="728"/>
      <c r="I46" s="728"/>
      <c r="J46" s="728"/>
      <c r="K46" s="729"/>
    </row>
    <row r="47" spans="2:11" s="712" customFormat="1" x14ac:dyDescent="0.25">
      <c r="B47" s="726"/>
      <c r="C47" s="739" t="s">
        <v>275</v>
      </c>
      <c r="E47" s="728"/>
      <c r="F47" s="739"/>
      <c r="G47" s="728"/>
      <c r="H47" s="728"/>
      <c r="I47" s="728"/>
      <c r="J47" s="728"/>
      <c r="K47" s="729"/>
    </row>
    <row r="48" spans="2:11" s="712" customFormat="1" ht="15.75" x14ac:dyDescent="0.25">
      <c r="B48" s="726"/>
      <c r="C48" s="739" t="s">
        <v>277</v>
      </c>
      <c r="E48" s="728"/>
      <c r="F48" s="748" t="s">
        <v>452</v>
      </c>
      <c r="G48" s="749"/>
      <c r="H48" s="749"/>
      <c r="I48" s="749"/>
      <c r="J48" s="749"/>
      <c r="K48" s="729"/>
    </row>
    <row r="49" spans="2:11" s="712" customFormat="1" x14ac:dyDescent="0.25">
      <c r="B49" s="726"/>
      <c r="C49" s="739" t="s">
        <v>52</v>
      </c>
      <c r="E49" s="728"/>
      <c r="F49" s="739" t="s">
        <v>239</v>
      </c>
      <c r="G49" s="728"/>
      <c r="H49" s="728"/>
      <c r="I49" s="728"/>
      <c r="J49" s="728"/>
      <c r="K49" s="729"/>
    </row>
    <row r="50" spans="2:11" s="712" customFormat="1" x14ac:dyDescent="0.25">
      <c r="B50" s="726"/>
      <c r="C50" s="739" t="s">
        <v>283</v>
      </c>
      <c r="E50" s="728"/>
      <c r="F50" s="739" t="s">
        <v>240</v>
      </c>
      <c r="G50" s="728"/>
      <c r="H50" s="728"/>
      <c r="I50" s="728"/>
      <c r="J50" s="728"/>
      <c r="K50" s="729"/>
    </row>
    <row r="51" spans="2:11" s="712" customFormat="1" x14ac:dyDescent="0.25">
      <c r="B51" s="726"/>
      <c r="C51" s="739" t="s">
        <v>391</v>
      </c>
      <c r="E51" s="728"/>
      <c r="F51" s="739" t="s">
        <v>54</v>
      </c>
      <c r="G51" s="728"/>
      <c r="H51" s="728"/>
      <c r="I51" s="728"/>
      <c r="J51" s="728"/>
      <c r="K51" s="729"/>
    </row>
    <row r="52" spans="2:11" s="712" customFormat="1" x14ac:dyDescent="0.25">
      <c r="B52" s="726"/>
      <c r="C52" s="739" t="s">
        <v>392</v>
      </c>
      <c r="E52" s="728"/>
      <c r="F52" s="739" t="s">
        <v>412</v>
      </c>
      <c r="G52" s="728"/>
      <c r="H52" s="728"/>
      <c r="I52" s="728"/>
      <c r="J52" s="728"/>
      <c r="K52" s="729"/>
    </row>
    <row r="53" spans="2:11" s="712" customFormat="1" x14ac:dyDescent="0.25">
      <c r="B53" s="726"/>
      <c r="C53" s="739" t="s">
        <v>361</v>
      </c>
      <c r="E53" s="728"/>
      <c r="G53" s="728"/>
      <c r="H53" s="728"/>
      <c r="I53" s="728"/>
      <c r="J53" s="728"/>
      <c r="K53" s="729"/>
    </row>
    <row r="54" spans="2:11" s="712" customFormat="1" ht="15.75" x14ac:dyDescent="0.25">
      <c r="B54" s="726"/>
      <c r="C54" s="717"/>
      <c r="D54" s="728"/>
      <c r="E54" s="728"/>
      <c r="F54" s="748" t="s">
        <v>453</v>
      </c>
      <c r="G54" s="749"/>
      <c r="H54" s="749"/>
      <c r="I54" s="749"/>
      <c r="J54" s="749"/>
      <c r="K54" s="729"/>
    </row>
    <row r="55" spans="2:11" s="712" customFormat="1" x14ac:dyDescent="0.25">
      <c r="B55" s="726"/>
      <c r="C55" s="717"/>
      <c r="D55" s="728"/>
      <c r="E55" s="728"/>
      <c r="F55" s="739" t="s">
        <v>409</v>
      </c>
      <c r="G55" s="728"/>
      <c r="H55" s="728"/>
      <c r="I55" s="728"/>
      <c r="J55" s="728"/>
      <c r="K55" s="729"/>
    </row>
    <row r="56" spans="2:11" s="712" customFormat="1" x14ac:dyDescent="0.25">
      <c r="B56" s="726"/>
      <c r="C56" s="717"/>
      <c r="D56" s="728"/>
      <c r="E56" s="728"/>
      <c r="F56" s="739" t="s">
        <v>410</v>
      </c>
      <c r="G56" s="728"/>
      <c r="H56" s="728"/>
      <c r="I56" s="728"/>
      <c r="J56" s="728"/>
      <c r="K56" s="729"/>
    </row>
    <row r="57" spans="2:11" s="712" customFormat="1" ht="15.75" x14ac:dyDescent="0.25">
      <c r="B57" s="726"/>
      <c r="C57" s="750" t="s">
        <v>455</v>
      </c>
      <c r="D57" s="751"/>
      <c r="E57" s="728"/>
      <c r="F57" s="739" t="s">
        <v>411</v>
      </c>
      <c r="G57" s="728"/>
      <c r="H57" s="728"/>
      <c r="I57" s="728"/>
      <c r="J57" s="728"/>
      <c r="K57" s="729"/>
    </row>
    <row r="58" spans="2:11" s="712" customFormat="1" x14ac:dyDescent="0.25">
      <c r="B58" s="726"/>
      <c r="C58" s="739" t="s">
        <v>421</v>
      </c>
      <c r="D58" s="728"/>
      <c r="E58" s="728"/>
      <c r="F58" s="739" t="s">
        <v>413</v>
      </c>
      <c r="G58" s="728"/>
      <c r="H58" s="728"/>
      <c r="I58" s="728"/>
      <c r="J58" s="728"/>
      <c r="K58" s="729"/>
    </row>
    <row r="59" spans="2:11" s="712" customFormat="1" x14ac:dyDescent="0.25">
      <c r="B59" s="726"/>
      <c r="C59" s="739" t="s">
        <v>418</v>
      </c>
      <c r="D59" s="728"/>
      <c r="E59" s="728"/>
      <c r="G59" s="728"/>
      <c r="H59" s="728"/>
      <c r="I59" s="728"/>
      <c r="J59" s="728"/>
      <c r="K59" s="729"/>
    </row>
    <row r="60" spans="2:11" s="712" customFormat="1" ht="15.75" x14ac:dyDescent="0.25">
      <c r="B60" s="726"/>
      <c r="C60" s="739" t="s">
        <v>419</v>
      </c>
      <c r="D60" s="728"/>
      <c r="E60" s="728"/>
      <c r="F60" s="748" t="s">
        <v>452</v>
      </c>
      <c r="G60" s="749"/>
      <c r="H60" s="749"/>
      <c r="I60" s="749"/>
      <c r="J60" s="749"/>
      <c r="K60" s="729"/>
    </row>
    <row r="61" spans="2:11" s="712" customFormat="1" x14ac:dyDescent="0.25">
      <c r="B61" s="726"/>
      <c r="C61" s="739" t="s">
        <v>420</v>
      </c>
      <c r="D61" s="728"/>
      <c r="E61" s="728"/>
      <c r="F61" s="739" t="s">
        <v>417</v>
      </c>
      <c r="G61" s="728"/>
      <c r="H61" s="728"/>
      <c r="I61" s="728"/>
      <c r="J61" s="728"/>
      <c r="K61" s="729"/>
    </row>
    <row r="62" spans="2:11" s="712" customFormat="1" x14ac:dyDescent="0.25">
      <c r="B62" s="726"/>
      <c r="C62" s="727"/>
      <c r="D62" s="728"/>
      <c r="E62" s="728"/>
      <c r="F62" s="739" t="s">
        <v>40</v>
      </c>
      <c r="G62" s="728"/>
      <c r="H62" s="728"/>
      <c r="I62" s="728"/>
      <c r="J62" s="728"/>
      <c r="K62" s="729"/>
    </row>
    <row r="63" spans="2:11" s="712" customFormat="1" x14ac:dyDescent="0.25">
      <c r="B63" s="726"/>
      <c r="C63" s="727"/>
      <c r="D63" s="728"/>
      <c r="E63" s="728"/>
      <c r="G63" s="728"/>
      <c r="H63" s="728"/>
      <c r="I63" s="728"/>
      <c r="J63" s="728"/>
      <c r="K63" s="729"/>
    </row>
    <row r="64" spans="2:11" s="712" customFormat="1" ht="15.75" x14ac:dyDescent="0.25">
      <c r="B64" s="726"/>
      <c r="C64" s="727"/>
      <c r="D64" s="728"/>
      <c r="E64" s="728"/>
      <c r="F64" s="748" t="s">
        <v>454</v>
      </c>
      <c r="G64" s="749"/>
      <c r="H64" s="749"/>
      <c r="I64" s="749"/>
      <c r="J64" s="749"/>
      <c r="K64" s="729"/>
    </row>
    <row r="65" spans="2:11" s="712" customFormat="1" x14ac:dyDescent="0.25">
      <c r="B65" s="726"/>
      <c r="C65" s="727"/>
      <c r="D65" s="728"/>
      <c r="E65" s="728"/>
      <c r="F65" s="739" t="s">
        <v>414</v>
      </c>
      <c r="G65" s="728"/>
      <c r="H65" s="728"/>
      <c r="I65" s="728"/>
      <c r="J65" s="728"/>
      <c r="K65" s="729"/>
    </row>
    <row r="66" spans="2:11" s="712" customFormat="1" x14ac:dyDescent="0.25">
      <c r="B66" s="726"/>
      <c r="C66" s="727"/>
      <c r="D66" s="728"/>
      <c r="E66" s="728"/>
      <c r="F66" s="739" t="s">
        <v>415</v>
      </c>
      <c r="G66" s="728"/>
      <c r="H66" s="728"/>
      <c r="I66" s="728"/>
      <c r="J66" s="728"/>
      <c r="K66" s="729"/>
    </row>
    <row r="67" spans="2:11" s="712" customFormat="1" x14ac:dyDescent="0.25">
      <c r="B67" s="726"/>
      <c r="C67" s="727"/>
      <c r="D67" s="728"/>
      <c r="E67" s="728"/>
      <c r="F67" s="739" t="s">
        <v>416</v>
      </c>
      <c r="G67" s="728"/>
      <c r="H67" s="728"/>
      <c r="I67" s="728"/>
      <c r="J67" s="728"/>
      <c r="K67" s="729"/>
    </row>
    <row r="68" spans="2:11" s="712" customFormat="1" ht="15.75" thickBot="1" x14ac:dyDescent="0.3">
      <c r="B68" s="730"/>
      <c r="C68" s="731"/>
      <c r="D68" s="732"/>
      <c r="E68" s="732"/>
      <c r="F68" s="732"/>
      <c r="G68" s="732"/>
      <c r="H68" s="732"/>
      <c r="I68" s="732"/>
      <c r="J68" s="732"/>
      <c r="K68" s="733"/>
    </row>
    <row r="69" spans="2:11" s="712" customFormat="1" ht="15.75" thickBot="1" x14ac:dyDescent="0.3">
      <c r="C69" s="711"/>
    </row>
    <row r="70" spans="2:11" s="712" customFormat="1" x14ac:dyDescent="0.25">
      <c r="B70" s="735"/>
      <c r="C70" s="736"/>
      <c r="D70" s="737"/>
      <c r="E70" s="737"/>
      <c r="F70" s="737"/>
      <c r="G70" s="737"/>
      <c r="H70" s="737"/>
      <c r="I70" s="737"/>
      <c r="J70" s="737"/>
      <c r="K70" s="738"/>
    </row>
    <row r="71" spans="2:11" ht="21" x14ac:dyDescent="0.25">
      <c r="B71" s="716"/>
      <c r="C71" s="734" t="s">
        <v>441</v>
      </c>
      <c r="D71" s="718"/>
      <c r="E71" s="718"/>
      <c r="F71" s="718"/>
      <c r="G71" s="718"/>
      <c r="H71" s="718"/>
      <c r="I71" s="718"/>
      <c r="J71" s="718"/>
      <c r="K71" s="719"/>
    </row>
    <row r="72" spans="2:11" s="712" customFormat="1" x14ac:dyDescent="0.25">
      <c r="B72" s="726"/>
      <c r="C72" s="727"/>
      <c r="D72" s="728"/>
      <c r="E72" s="728"/>
      <c r="F72" s="728"/>
      <c r="G72" s="728"/>
      <c r="H72" s="728"/>
      <c r="I72" s="728"/>
      <c r="J72" s="728"/>
      <c r="K72" s="729"/>
    </row>
    <row r="73" spans="2:11" s="712" customFormat="1" x14ac:dyDescent="0.25">
      <c r="B73" s="726"/>
      <c r="C73" s="727" t="s">
        <v>422</v>
      </c>
      <c r="D73" s="728"/>
      <c r="E73" s="728"/>
      <c r="F73" s="728"/>
      <c r="G73" s="728"/>
      <c r="H73" s="728"/>
      <c r="I73" s="728"/>
      <c r="J73" s="728"/>
      <c r="K73" s="729"/>
    </row>
    <row r="74" spans="2:11" s="712" customFormat="1" x14ac:dyDescent="0.25">
      <c r="B74" s="726"/>
      <c r="C74" s="727"/>
      <c r="D74" s="728"/>
      <c r="E74" s="728"/>
      <c r="F74" s="728"/>
      <c r="G74" s="728"/>
      <c r="H74" s="728"/>
      <c r="I74" s="728"/>
      <c r="J74" s="728"/>
      <c r="K74" s="729"/>
    </row>
    <row r="75" spans="2:11" s="712" customFormat="1" x14ac:dyDescent="0.25">
      <c r="B75" s="726"/>
      <c r="C75" s="727" t="s">
        <v>430</v>
      </c>
      <c r="D75" s="728"/>
      <c r="E75" s="728"/>
      <c r="F75" s="728"/>
      <c r="G75" s="728"/>
      <c r="H75" s="728"/>
      <c r="I75" s="728"/>
      <c r="J75" s="728"/>
      <c r="K75" s="729"/>
    </row>
    <row r="76" spans="2:11" s="712" customFormat="1" x14ac:dyDescent="0.25">
      <c r="B76" s="726"/>
      <c r="C76" s="727" t="s">
        <v>433</v>
      </c>
      <c r="D76" s="728"/>
      <c r="E76" s="728"/>
      <c r="F76" s="728"/>
      <c r="G76" s="728"/>
      <c r="H76" s="728"/>
      <c r="I76" s="728"/>
      <c r="J76" s="728"/>
      <c r="K76" s="729"/>
    </row>
    <row r="77" spans="2:11" s="712" customFormat="1" x14ac:dyDescent="0.25">
      <c r="B77" s="726"/>
      <c r="C77" s="727" t="s">
        <v>431</v>
      </c>
      <c r="D77" s="728"/>
      <c r="E77" s="728"/>
      <c r="F77" s="728"/>
      <c r="G77" s="728"/>
      <c r="H77" s="728"/>
      <c r="I77" s="728"/>
      <c r="J77" s="728"/>
      <c r="K77" s="729"/>
    </row>
    <row r="78" spans="2:11" s="712" customFormat="1" x14ac:dyDescent="0.25">
      <c r="B78" s="726"/>
      <c r="C78" s="727" t="s">
        <v>432</v>
      </c>
      <c r="D78" s="728"/>
      <c r="E78" s="728"/>
      <c r="F78" s="728"/>
      <c r="G78" s="728"/>
      <c r="H78" s="728"/>
      <c r="I78" s="728"/>
      <c r="J78" s="728"/>
      <c r="K78" s="729"/>
    </row>
    <row r="79" spans="2:11" s="712" customFormat="1" x14ac:dyDescent="0.25">
      <c r="B79" s="726"/>
      <c r="C79" s="727"/>
      <c r="D79" s="728"/>
      <c r="E79" s="728"/>
      <c r="F79" s="728"/>
      <c r="G79" s="728"/>
      <c r="H79" s="728"/>
      <c r="I79" s="728"/>
      <c r="J79" s="728"/>
      <c r="K79" s="729"/>
    </row>
    <row r="80" spans="2:11" s="712" customFormat="1" x14ac:dyDescent="0.25">
      <c r="B80" s="726"/>
      <c r="C80" s="727" t="s">
        <v>405</v>
      </c>
      <c r="D80" s="728"/>
      <c r="E80" s="728"/>
      <c r="F80" s="728"/>
      <c r="G80" s="728"/>
      <c r="H80" s="728"/>
      <c r="I80" s="728"/>
      <c r="J80" s="728"/>
      <c r="K80" s="729"/>
    </row>
    <row r="81" spans="2:11" s="712" customFormat="1" x14ac:dyDescent="0.25">
      <c r="B81" s="726"/>
      <c r="C81" s="727" t="s">
        <v>442</v>
      </c>
      <c r="D81" s="728"/>
      <c r="E81" s="728"/>
      <c r="F81" s="728"/>
      <c r="G81" s="728"/>
      <c r="H81" s="728"/>
      <c r="I81" s="728"/>
      <c r="J81" s="728"/>
      <c r="K81" s="729"/>
    </row>
    <row r="82" spans="2:11" s="712" customFormat="1" x14ac:dyDescent="0.25">
      <c r="B82" s="726"/>
      <c r="C82" s="727" t="s">
        <v>406</v>
      </c>
      <c r="D82" s="728"/>
      <c r="E82" s="728"/>
      <c r="F82" s="728"/>
      <c r="G82" s="728"/>
      <c r="H82" s="728"/>
      <c r="I82" s="728"/>
      <c r="J82" s="728"/>
      <c r="K82" s="729"/>
    </row>
    <row r="83" spans="2:11" s="712" customFormat="1" x14ac:dyDescent="0.25">
      <c r="B83" s="726"/>
      <c r="C83" s="727" t="s">
        <v>443</v>
      </c>
      <c r="D83" s="728"/>
      <c r="E83" s="728"/>
      <c r="F83" s="728"/>
      <c r="G83" s="728"/>
      <c r="H83" s="728"/>
      <c r="I83" s="728"/>
      <c r="J83" s="728"/>
      <c r="K83" s="729"/>
    </row>
    <row r="84" spans="2:11" s="712" customFormat="1" x14ac:dyDescent="0.25">
      <c r="B84" s="726"/>
      <c r="C84" s="727" t="s">
        <v>407</v>
      </c>
      <c r="D84" s="728"/>
      <c r="E84" s="728"/>
      <c r="F84" s="728"/>
      <c r="G84" s="728"/>
      <c r="H84" s="728"/>
      <c r="I84" s="728"/>
      <c r="J84" s="728"/>
      <c r="K84" s="729"/>
    </row>
    <row r="85" spans="2:11" s="712" customFormat="1" x14ac:dyDescent="0.25">
      <c r="B85" s="726"/>
      <c r="C85" s="727"/>
      <c r="D85" s="728"/>
      <c r="E85" s="728"/>
      <c r="F85" s="728"/>
      <c r="G85" s="728"/>
      <c r="H85" s="728"/>
      <c r="I85" s="728"/>
      <c r="J85" s="728"/>
      <c r="K85" s="729"/>
    </row>
    <row r="86" spans="2:11" s="712" customFormat="1" x14ac:dyDescent="0.25">
      <c r="B86" s="726"/>
      <c r="C86" s="743" t="s">
        <v>444</v>
      </c>
      <c r="D86" s="744"/>
      <c r="E86" s="744"/>
      <c r="F86" s="744"/>
      <c r="G86" s="744"/>
      <c r="H86" s="744"/>
      <c r="I86" s="744"/>
      <c r="J86" s="744"/>
      <c r="K86" s="729"/>
    </row>
    <row r="87" spans="2:11" s="712" customFormat="1" ht="15.75" thickBot="1" x14ac:dyDescent="0.3">
      <c r="B87" s="730"/>
      <c r="C87" s="731"/>
      <c r="D87" s="732"/>
      <c r="E87" s="732"/>
      <c r="F87" s="732"/>
      <c r="G87" s="732"/>
      <c r="H87" s="732"/>
      <c r="I87" s="732"/>
      <c r="J87" s="732"/>
      <c r="K87" s="733"/>
    </row>
    <row r="88" spans="2:11" s="712" customFormat="1" ht="15.75" thickBot="1" x14ac:dyDescent="0.3">
      <c r="C88" s="711"/>
    </row>
    <row r="89" spans="2:11" s="712" customFormat="1" x14ac:dyDescent="0.25">
      <c r="B89" s="735"/>
      <c r="C89" s="736"/>
      <c r="D89" s="737"/>
      <c r="E89" s="737"/>
      <c r="F89" s="737"/>
      <c r="G89" s="737"/>
      <c r="H89" s="737"/>
      <c r="I89" s="737"/>
      <c r="J89" s="737"/>
      <c r="K89" s="738"/>
    </row>
    <row r="90" spans="2:11" ht="21" x14ac:dyDescent="0.25">
      <c r="B90" s="716"/>
      <c r="C90" s="734" t="s">
        <v>446</v>
      </c>
      <c r="D90" s="718"/>
      <c r="E90" s="718"/>
      <c r="F90" s="718"/>
      <c r="G90" s="718"/>
      <c r="H90" s="718"/>
      <c r="I90" s="718"/>
      <c r="J90" s="718"/>
      <c r="K90" s="719"/>
    </row>
    <row r="91" spans="2:11" s="712" customFormat="1" x14ac:dyDescent="0.25">
      <c r="B91" s="726"/>
      <c r="C91" s="728"/>
      <c r="D91" s="728"/>
      <c r="E91" s="728"/>
      <c r="F91" s="728"/>
      <c r="G91" s="728"/>
      <c r="H91" s="728"/>
      <c r="I91" s="728"/>
      <c r="J91" s="728"/>
      <c r="K91" s="729"/>
    </row>
    <row r="92" spans="2:11" s="712" customFormat="1" x14ac:dyDescent="0.25">
      <c r="B92" s="726"/>
      <c r="C92" s="728" t="s">
        <v>447</v>
      </c>
      <c r="D92" s="728"/>
      <c r="E92" s="728"/>
      <c r="F92" s="728"/>
      <c r="G92" s="728"/>
      <c r="H92" s="728"/>
      <c r="I92" s="728"/>
      <c r="J92" s="728"/>
      <c r="K92" s="729"/>
    </row>
    <row r="93" spans="2:11" s="712" customFormat="1" x14ac:dyDescent="0.25">
      <c r="B93" s="726"/>
      <c r="C93" s="728" t="s">
        <v>404</v>
      </c>
      <c r="D93" s="741" t="s">
        <v>434</v>
      </c>
      <c r="E93" s="728"/>
      <c r="F93" s="728"/>
      <c r="G93" s="728"/>
      <c r="H93" s="728"/>
      <c r="I93" s="728"/>
      <c r="J93" s="728"/>
      <c r="K93" s="729"/>
    </row>
    <row r="94" spans="2:11" s="712" customFormat="1" ht="15.75" thickBot="1" x14ac:dyDescent="0.3">
      <c r="B94" s="730"/>
      <c r="C94" s="732"/>
      <c r="D94" s="732"/>
      <c r="E94" s="732"/>
      <c r="F94" s="732"/>
      <c r="G94" s="732"/>
      <c r="H94" s="732"/>
      <c r="I94" s="732"/>
      <c r="J94" s="732"/>
      <c r="K94" s="733"/>
    </row>
    <row r="95" spans="2:11" s="712" customFormat="1" x14ac:dyDescent="0.25"/>
  </sheetData>
  <mergeCells count="1">
    <mergeCell ref="G1:K6"/>
  </mergeCells>
  <hyperlinks>
    <hyperlink ref="D93" r:id="rId1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103"/>
  <sheetViews>
    <sheetView showGridLines="0" workbookViewId="0">
      <selection activeCell="C16" sqref="C16"/>
    </sheetView>
  </sheetViews>
  <sheetFormatPr baseColWidth="10" defaultRowHeight="15.75" customHeight="1" x14ac:dyDescent="0.25"/>
  <cols>
    <col min="1" max="2" width="25.85546875" style="1" customWidth="1"/>
    <col min="3" max="3" width="7.7109375" style="134" customWidth="1"/>
    <col min="4" max="6" width="17" style="41" customWidth="1"/>
    <col min="7" max="7" width="8.140625" style="41" customWidth="1"/>
    <col min="8" max="10" width="17" style="41" customWidth="1"/>
    <col min="11" max="11" width="9" style="41" customWidth="1"/>
    <col min="12" max="14" width="17" style="41" customWidth="1"/>
    <col min="15" max="16384" width="11.42578125" style="41"/>
  </cols>
  <sheetData>
    <row r="1" spans="1:14" ht="32.25" customHeight="1" x14ac:dyDescent="0.25">
      <c r="A1" s="128" t="s">
        <v>148</v>
      </c>
      <c r="B1" s="128"/>
      <c r="C1" s="133"/>
      <c r="D1" s="128" t="s">
        <v>147</v>
      </c>
      <c r="E1" s="128"/>
      <c r="H1" s="128"/>
      <c r="I1" s="128"/>
      <c r="L1" s="128"/>
      <c r="M1" s="128"/>
    </row>
    <row r="2" spans="1:14" ht="15.75" customHeight="1" x14ac:dyDescent="0.3">
      <c r="B2" s="116" t="s">
        <v>139</v>
      </c>
      <c r="D2" s="775" t="s">
        <v>135</v>
      </c>
      <c r="E2" s="775"/>
      <c r="F2" s="775"/>
      <c r="H2" s="775" t="s">
        <v>90</v>
      </c>
      <c r="I2" s="775"/>
      <c r="J2" s="775"/>
      <c r="L2" s="775" t="s">
        <v>16</v>
      </c>
      <c r="M2" s="775"/>
      <c r="N2" s="775"/>
    </row>
    <row r="3" spans="1:14" ht="7.5" customHeight="1" thickBot="1" x14ac:dyDescent="0.35">
      <c r="D3" s="116"/>
      <c r="E3" s="116"/>
      <c r="F3" s="116"/>
      <c r="H3" s="116"/>
      <c r="I3" s="116"/>
      <c r="J3" s="116"/>
      <c r="L3" s="116"/>
      <c r="M3" s="116"/>
      <c r="N3" s="116"/>
    </row>
    <row r="4" spans="1:14" s="43" customFormat="1" ht="15.75" customHeight="1" thickBot="1" x14ac:dyDescent="0.3">
      <c r="A4" s="114" t="s">
        <v>30</v>
      </c>
      <c r="B4" s="42">
        <f>Simulation!$D$4</f>
        <v>2000</v>
      </c>
      <c r="C4" s="135"/>
      <c r="D4" s="776">
        <f>B4</f>
        <v>2000</v>
      </c>
      <c r="E4" s="787"/>
      <c r="F4" s="777"/>
      <c r="H4" s="776">
        <f>D4</f>
        <v>2000</v>
      </c>
      <c r="I4" s="787"/>
      <c r="J4" s="777"/>
      <c r="L4" s="776">
        <f>H4</f>
        <v>2000</v>
      </c>
      <c r="M4" s="787"/>
      <c r="N4" s="777"/>
    </row>
    <row r="5" spans="1:14" s="43" customFormat="1" ht="15.75" customHeight="1" x14ac:dyDescent="0.25">
      <c r="A5" s="127" t="s">
        <v>31</v>
      </c>
      <c r="B5" s="136">
        <f>D5</f>
        <v>64</v>
      </c>
      <c r="C5" s="135"/>
      <c r="D5" s="778">
        <f>Simulation!$D$6</f>
        <v>64</v>
      </c>
      <c r="E5" s="788"/>
      <c r="F5" s="779"/>
      <c r="H5" s="778">
        <f>Simulation!$D$6</f>
        <v>64</v>
      </c>
      <c r="I5" s="788"/>
      <c r="J5" s="779"/>
      <c r="L5" s="778">
        <f>Simulation!$D$6</f>
        <v>64</v>
      </c>
      <c r="M5" s="788"/>
      <c r="N5" s="779"/>
    </row>
    <row r="6" spans="1:14" s="43" customFormat="1" ht="15.75" customHeight="1" x14ac:dyDescent="0.25">
      <c r="A6" s="125" t="s">
        <v>51</v>
      </c>
      <c r="B6" s="136" t="str">
        <f t="shared" ref="B6:B8" si="0">D6</f>
        <v>Neutre</v>
      </c>
      <c r="C6" s="135"/>
      <c r="D6" s="780" t="str">
        <f>Simulation!$D$8</f>
        <v>Neutre</v>
      </c>
      <c r="E6" s="782"/>
      <c r="F6" s="781"/>
      <c r="H6" s="780" t="str">
        <f>Simulation!$D$8</f>
        <v>Neutre</v>
      </c>
      <c r="I6" s="782"/>
      <c r="J6" s="781"/>
      <c r="L6" s="780" t="str">
        <f>Simulation!$D$8</f>
        <v>Neutre</v>
      </c>
      <c r="M6" s="782"/>
      <c r="N6" s="781"/>
    </row>
    <row r="7" spans="1:14" s="43" customFormat="1" ht="15.75" customHeight="1" x14ac:dyDescent="0.25">
      <c r="A7" s="125" t="s">
        <v>49</v>
      </c>
      <c r="B7" s="136" t="str">
        <f t="shared" si="0"/>
        <v>Moyen</v>
      </c>
      <c r="C7" s="135"/>
      <c r="D7" s="780" t="str">
        <f>Simulation!$D$9</f>
        <v>Moyen</v>
      </c>
      <c r="E7" s="782"/>
      <c r="F7" s="781"/>
      <c r="H7" s="780" t="str">
        <f>Simulation!$D$9</f>
        <v>Moyen</v>
      </c>
      <c r="I7" s="782"/>
      <c r="J7" s="781"/>
      <c r="L7" s="780" t="str">
        <f>Simulation!$D$9</f>
        <v>Moyen</v>
      </c>
      <c r="M7" s="782"/>
      <c r="N7" s="781"/>
    </row>
    <row r="8" spans="1:14" s="43" customFormat="1" ht="15.75" customHeight="1" thickBot="1" x14ac:dyDescent="0.3">
      <c r="A8" s="126" t="s">
        <v>136</v>
      </c>
      <c r="B8" s="137">
        <f t="shared" si="0"/>
        <v>91.05329307138409</v>
      </c>
      <c r="C8" s="135"/>
      <c r="D8" s="773">
        <f>IF(AND($D$6="Homme",$D$7="Moyen"),LOOKUP($D$5,EV!$B$16:$B$23,EV!$C$16:$C$23),IF(AND($D$6="Femme",$D$7="Moyen"),LOOKUP($D$5,EV!$B$16:$B$23,EV!$D$16:$D$23),IF(AND($D$6="Neutre",$D$7="Moyen"),LOOKUP($D$5,EV!$B$16:$B$23,EV!$E$16:$E$23),IF(AND($D$6="Homme",$D$7="Cadre"),LOOKUP($D$5,EV!$B$16:$B$23,EV!$F$16:$F$23),IF(AND($D$6="Femme",$D$7="Cadre"),LOOKUP($D$5,EV!$B$16:$B$23,EV!$G$16:$G$23),IF(AND($D$6="Neutre",$D$7="Cadre"),LOOKUP($D$5,EV!$B$16:$B$23,EV!$H$16:$H$23),IF(AND($D$6="Homme",$D$7="Ouvrier"),LOOKUP($D$5,EV!$B$16:$B$23,EV!$I$16:$I$23),IF(AND($D$6="Femme",$D$7="Ouvrier"),LOOKUP($D$5,EV!$B$16:$B$23,EV!$J$16:$J$23),LOOKUP($D$5,EV!$B$16:$B$23,EV!$K$16:$K$23)))))))))</f>
        <v>91.05329307138409</v>
      </c>
      <c r="E8" s="783"/>
      <c r="F8" s="774"/>
      <c r="G8" s="92"/>
      <c r="H8" s="773">
        <f>IF(AND($D$6="Homme",$D$7="Moyen"),LOOKUP($D$5,EV!$B$16:$B$23,EV!$C$16:$C$23),IF(AND($D$6="Femme",$D$7="Moyen"),LOOKUP($D$5,EV!$B$16:$B$23,EV!$D$16:$D$23),IF(AND($D$6="Neutre",$D$7="Moyen"),LOOKUP($D$5,EV!$B$16:$B$23,EV!$E$16:$E$23),IF(AND($D$6="Homme",$D$7="Cadre"),LOOKUP($D$5,EV!$B$16:$B$23,EV!$F$16:$F$23),IF(AND($D$6="Femme",$D$7="Cadre"),LOOKUP($D$5,EV!$B$16:$B$23,EV!$G$16:$G$23),IF(AND($D$6="Neutre",$D$7="Cadre"),LOOKUP($D$5,EV!$B$16:$B$23,EV!$H$16:$H$23),IF(AND($D$6="Homme",$D$7="Ouvrier"),LOOKUP($D$5,EV!$B$16:$B$23,EV!$I$16:$I$23),IF(AND($D$6="Femme",$D$7="Ouvrier"),LOOKUP($D$5,EV!$B$16:$B$23,EV!$J$16:$J$23),LOOKUP($D$5,EV!$B$16:$B$23,EV!$K$16:$K$23)))))))))</f>
        <v>91.05329307138409</v>
      </c>
      <c r="I8" s="783"/>
      <c r="J8" s="774"/>
      <c r="L8" s="773">
        <f>IF(AND($D$6="Homme",$D$7="Moyen"),LOOKUP($D$5,EV!$B$16:$B$23,EV!$C$16:$C$23),IF(AND($D$6="Femme",$D$7="Moyen"),LOOKUP($D$5,EV!$B$16:$B$23,EV!$D$16:$D$23),IF(AND($D$6="Neutre",$D$7="Moyen"),LOOKUP($D$5,EV!$B$16:$B$23,EV!$E$16:$E$23),IF(AND($D$6="Homme",$D$7="Cadre"),LOOKUP($D$5,EV!$B$16:$B$23,EV!$F$16:$F$23),IF(AND($D$6="Femme",$D$7="Cadre"),LOOKUP($D$5,EV!$B$16:$B$23,EV!$G$16:$G$23),IF(AND($D$6="Neutre",$D$7="Cadre"),LOOKUP($D$5,EV!$B$16:$B$23,EV!$H$16:$H$23),IF(AND($D$6="Homme",$D$7="Ouvrier"),LOOKUP($D$5,EV!$B$16:$B$23,EV!$I$16:$I$23),IF(AND($D$6="Femme",$D$7="Ouvrier"),LOOKUP($D$5,EV!$B$16:$B$23,EV!$J$16:$J$23),LOOKUP($D$5,EV!$B$16:$B$23,EV!$K$16:$K$23)))))))))</f>
        <v>91.05329307138409</v>
      </c>
      <c r="M8" s="783"/>
      <c r="N8" s="774"/>
    </row>
    <row r="9" spans="1:14" s="43" customFormat="1" ht="15.75" customHeight="1" thickBot="1" x14ac:dyDescent="0.3">
      <c r="A9" s="46"/>
      <c r="B9" s="138"/>
      <c r="C9" s="135"/>
      <c r="D9" s="139"/>
      <c r="E9" s="139"/>
      <c r="F9" s="139"/>
      <c r="G9" s="92"/>
      <c r="H9" s="139"/>
      <c r="I9" s="139"/>
      <c r="J9" s="139"/>
      <c r="L9" s="139"/>
      <c r="M9" s="139"/>
      <c r="N9" s="139"/>
    </row>
    <row r="10" spans="1:14" s="43" customFormat="1" ht="15.75" customHeight="1" x14ac:dyDescent="0.3">
      <c r="A10" s="46"/>
      <c r="B10" s="138"/>
      <c r="C10" s="135"/>
      <c r="D10" s="784" t="s">
        <v>149</v>
      </c>
      <c r="E10" s="785"/>
      <c r="F10" s="785"/>
      <c r="G10" s="785"/>
      <c r="H10" s="785"/>
      <c r="I10" s="785"/>
      <c r="J10" s="785"/>
      <c r="K10" s="785"/>
      <c r="L10" s="785"/>
      <c r="M10" s="785"/>
      <c r="N10" s="786"/>
    </row>
    <row r="11" spans="1:14" s="43" customFormat="1" ht="15.75" customHeight="1" x14ac:dyDescent="0.3">
      <c r="A11" s="46"/>
      <c r="B11" s="138"/>
      <c r="C11" s="135"/>
      <c r="D11" s="154"/>
      <c r="E11" s="155"/>
      <c r="F11" s="155"/>
      <c r="G11" s="155"/>
      <c r="H11" s="155"/>
      <c r="I11" s="155"/>
      <c r="J11" s="155"/>
      <c r="K11" s="155"/>
      <c r="L11" s="155"/>
      <c r="M11" s="155"/>
      <c r="N11" s="156"/>
    </row>
    <row r="12" spans="1:14" ht="15.75" customHeight="1" x14ac:dyDescent="0.25">
      <c r="D12" s="157"/>
      <c r="E12" s="158" t="s">
        <v>144</v>
      </c>
      <c r="F12" s="159">
        <f ca="1">D17/F17</f>
        <v>1.210922474518902</v>
      </c>
      <c r="G12" s="160"/>
      <c r="H12" s="160"/>
      <c r="I12" s="158" t="s">
        <v>144</v>
      </c>
      <c r="J12" s="159">
        <f>H17/J17</f>
        <v>1.4615183905399594</v>
      </c>
      <c r="K12" s="160"/>
      <c r="L12" s="160"/>
      <c r="M12" s="158" t="s">
        <v>144</v>
      </c>
      <c r="N12" s="161">
        <f ca="1">L17/N17</f>
        <v>0.76690730543296526</v>
      </c>
    </row>
    <row r="13" spans="1:14" ht="15.75" customHeight="1" thickBot="1" x14ac:dyDescent="0.3">
      <c r="D13" s="162"/>
      <c r="E13" s="163" t="s">
        <v>145</v>
      </c>
      <c r="F13" s="164">
        <f ca="1">E17/F17</f>
        <v>1.0979617459846842</v>
      </c>
      <c r="G13" s="165"/>
      <c r="H13" s="165"/>
      <c r="I13" s="163" t="s">
        <v>145</v>
      </c>
      <c r="J13" s="164">
        <f ca="1">I17/J17</f>
        <v>1.3285202170008226</v>
      </c>
      <c r="K13" s="165"/>
      <c r="L13" s="165"/>
      <c r="M13" s="163" t="s">
        <v>145</v>
      </c>
      <c r="N13" s="166">
        <f ca="1">M17/N17</f>
        <v>0.68944966758423576</v>
      </c>
    </row>
    <row r="14" spans="1:14" ht="15.75" customHeight="1" thickBot="1" x14ac:dyDescent="0.3">
      <c r="E14" s="140"/>
      <c r="F14" s="145"/>
      <c r="I14" s="140"/>
      <c r="J14" s="145"/>
      <c r="M14" s="140"/>
      <c r="N14" s="145"/>
    </row>
    <row r="15" spans="1:14" ht="15.75" customHeight="1" x14ac:dyDescent="0.25">
      <c r="D15" s="117" t="s">
        <v>105</v>
      </c>
      <c r="E15" s="118" t="s">
        <v>106</v>
      </c>
      <c r="F15" s="119" t="s">
        <v>33</v>
      </c>
      <c r="H15" s="117" t="s">
        <v>105</v>
      </c>
      <c r="I15" s="118" t="s">
        <v>106</v>
      </c>
      <c r="J15" s="119" t="s">
        <v>33</v>
      </c>
      <c r="L15" s="117" t="s">
        <v>105</v>
      </c>
      <c r="M15" s="118" t="s">
        <v>106</v>
      </c>
      <c r="N15" s="119" t="s">
        <v>33</v>
      </c>
    </row>
    <row r="16" spans="1:14" ht="15.75" customHeight="1" thickBot="1" x14ac:dyDescent="0.3">
      <c r="C16" s="144"/>
      <c r="D16" s="142" t="s">
        <v>141</v>
      </c>
      <c r="E16" s="141" t="s">
        <v>142</v>
      </c>
      <c r="F16" s="143" t="s">
        <v>143</v>
      </c>
      <c r="H16" s="142" t="s">
        <v>141</v>
      </c>
      <c r="I16" s="141" t="s">
        <v>142</v>
      </c>
      <c r="J16" s="143" t="s">
        <v>143</v>
      </c>
      <c r="L16" s="142" t="s">
        <v>141</v>
      </c>
      <c r="M16" s="141" t="s">
        <v>142</v>
      </c>
      <c r="N16" s="143" t="s">
        <v>143</v>
      </c>
    </row>
    <row r="17" spans="1:15" s="4" customFormat="1" ht="15.75" customHeight="1" thickBot="1" x14ac:dyDescent="0.3">
      <c r="A17" s="122" t="s">
        <v>140</v>
      </c>
      <c r="B17" s="281" t="s">
        <v>139</v>
      </c>
      <c r="C17" s="135"/>
      <c r="D17" s="173">
        <f ca="1">SUM(D18:D101)/SUM($B18:$B101)</f>
        <v>0.32580348389366259</v>
      </c>
      <c r="E17" s="174">
        <f ca="1">SUM(E18:E101)/SUM($B18:$B101)</f>
        <v>0.29541095284890168</v>
      </c>
      <c r="F17" s="175">
        <f>SUM(F18:F101)/SUM($B18:$B101)</f>
        <v>0.269053957416311</v>
      </c>
      <c r="G17" s="172"/>
      <c r="H17" s="173">
        <f>SUM(H18:H101)/SUM($B18:$B101)</f>
        <v>0.25136208284988548</v>
      </c>
      <c r="I17" s="174">
        <f ca="1">SUM(I18:I101)/SUM($B18:$B101)</f>
        <v>0.22848813331054582</v>
      </c>
      <c r="J17" s="175">
        <f>SUM(J18:J101)/SUM(B18:B101)</f>
        <v>0.17198694486288299</v>
      </c>
      <c r="K17" s="172"/>
      <c r="L17" s="173">
        <f ca="1">SUM(L18:L101)/SUM($B18:$B101)</f>
        <v>7.4441401043777333E-2</v>
      </c>
      <c r="M17" s="174">
        <f ca="1">SUM(M18:M101)/SUM($B18:$B101)</f>
        <v>6.6922819538355827E-2</v>
      </c>
      <c r="N17" s="175">
        <f>SUM(N18:N101)/SUM(B18:B101)</f>
        <v>9.7067012553428075E-2</v>
      </c>
      <c r="O17" s="172"/>
    </row>
    <row r="18" spans="1:15" s="43" customFormat="1" ht="15.75" customHeight="1" x14ac:dyDescent="0.25">
      <c r="A18" s="147">
        <f>TRI_prix!A12</f>
        <v>2017</v>
      </c>
      <c r="B18" s="130">
        <f>Cot_droits!C17/LOOKUP($A18,Barèmes!$A$65:$A$148,Barèmes!$G$65:$G$148)</f>
        <v>0</v>
      </c>
      <c r="C18" s="135"/>
      <c r="D18" s="129">
        <f>IF($A18&lt;$D$5+$D$4,0,IF(AND($A18&gt;=$D$5,$A18&lt;=INT($D$8)-1+$D$4),LOOKUP($A18,Retraite!$A$7:$A$47,Retraite!$K$7:$K$47)/LOOKUP($A18,Barèmes!$A$65:$A$148,Barèmes!$G$65:$G$148),IF($A18=INT($D$8+$D$4),(LOOKUP($A18,Retraite!$A$7:$A$47,Retraite!$K$7:$K$47)/LOOKUP($A18,Barèmes!$A$65:$A$148,Barèmes!$G$65:$G$148))*(1-(INT($D$8)+1-$D$8)),0)))</f>
        <v>0</v>
      </c>
      <c r="E18" s="150">
        <f>IF($A18&lt;$D$5+$D$4,0,IF(AND($A18&gt;=$D$5,$A18&lt;=INT($D$8)-1+$D$4),LOOKUP($A18,Retraite!$A$7:$A$47,Retraite!$N$7:$N$47)/LOOKUP($A18,Barèmes!$A$65:$A$148,Barèmes!$G$65:$G$148),IF($A18=INT($D$8+$D$4),(LOOKUP($A18,Retraite!$A$7:$A$47,Retraite!$N$7:$N$47)/LOOKUP($A18,Barèmes!$A$65:$A$148,Barèmes!$G$65:$G$148))*(1-(INT($D$8)+1-$D$8)),0)))</f>
        <v>0</v>
      </c>
      <c r="F18" s="130">
        <f>IF($A18&lt;$D$5+$D$4,LOOKUP($A18,Cot_droits!$A$17:$A$68,Cot_droits!$Q$17:$Q$68)/LOOKUP($A18,Barèmes!$A$65:$A$148,Barèmes!$G$65:$G$148),0)</f>
        <v>0</v>
      </c>
      <c r="G18" s="146"/>
      <c r="H18" s="129">
        <f>IF($A18&lt;$D$5+$D$4,0,IF(AND($A18&gt;=$D$5,$A18&lt;=INT($D$8)-1+$D$4),LOOKUP($A18,Retraite!$A$7:$A$47,Retraite!$L$7:$L$47)/LOOKUP($A18,Barèmes!$A$65:$A$148,Barèmes!$G$65:$G$148),IF($A18=INT($D$8+$D$4),(LOOKUP($A18,Retraite!$A$7:$A$47,Retraite!$L$7:$L$47)/LOOKUP($A18,Barèmes!$A$65:$A$148,Barèmes!$G$65:$G$148))*(1-(INT($D$8)+1-$D$8)),0)))</f>
        <v>0</v>
      </c>
      <c r="I18" s="150">
        <f>IF($A18&lt;$D$5+$D$4,0,IF(AND($A18&gt;=$D$5,$A18&lt;=INT($D$8)-1+$D$4),LOOKUP($A18,Retraite!$A$7:$A$47,Retraite!$P$7:$P$47)/LOOKUP($A18,Barèmes!$A$65:$A$148,Barèmes!$G$65:$G$148),IF($A18=INT($D$8+$D$4),(LOOKUP($A18,Retraite!$A$7:$A$47,Retraite!$P$7:$P$47)/LOOKUP($A18,Barèmes!$A$65:$A$148,Barèmes!$G$65:$G$148))*(1-(INT($D$8)+1-$D$8)),0)))</f>
        <v>0</v>
      </c>
      <c r="J18" s="130">
        <f>IF($A18&lt;$D$5+$D$4,(LOOKUP($A18,Cot_droits!$A$17:$A$68,Cot_droits!$H$17:$H$68)+LOOKUP($A18,Cot_droits!$A$17:$A$68,Cot_droits!$L$17:$L$68))/LOOKUP($A18,Barèmes!$A$65:$A$148,Barèmes!$G$65:$G$148),0)</f>
        <v>0</v>
      </c>
      <c r="K18" s="146"/>
      <c r="L18" s="129">
        <f>IF($A18&lt;$D$5+$D$4,0,IF(AND($A18&gt;=$D$5,$A18&lt;=INT($D$8)-1+$D$4),LOOKUP($A18,Retraite!$A$7:$A$47,Retraite!$M$7:$M$47)/LOOKUP($A18,Barèmes!$A$65:$A$148,Barèmes!$G$65:$G$148),IF($A18=INT($D$8+$D$4),(LOOKUP($A18,Retraite!$A$7:$A$47,Retraite!$M$7:$M$47)/LOOKUP($A18,Barèmes!$A$65:$A$148,Barèmes!$G$65:$G$148))*(1-(INT($D$8)+1-$D$8)),0)))</f>
        <v>0</v>
      </c>
      <c r="M18" s="150">
        <f>IF($A18&lt;$D$5+$D$4,0,IF(AND($A18&gt;=$D$5,$A18&lt;=INT($D$8)-1+$D$4),LOOKUP($A18,Retraite!$A$7:$A$47,Retraite!$Q$7:$Q$47)/LOOKUP($A18,Barèmes!$A$65:$A$148,Barèmes!$G$65:$G$148),IF($A18=INT($D$8+$D$4),(LOOKUP($A18,Retraite!$A$7:$A$47,Retraite!$Q$7:$Q$47)/LOOKUP($A18,Barèmes!$A$65:$A$148,Barèmes!$G$65:$G$148))*(1-(INT($D$8)+1-$D$8)),0)))</f>
        <v>0</v>
      </c>
      <c r="N18" s="130">
        <f>IF($A18&lt;$D$5+$D$4,(LOOKUP($A18,Cot_droits!$A$17:$A$68,Cot_droits!$I$17:$I$68)+LOOKUP($A18,Cot_droits!$A$17:$A$68,Cot_droits!$J$17:$J$68)+LOOKUP($A18,Cot_droits!$A$17:$A$68,Cot_droits!$N$17:$N$68))/LOOKUP($A18,Barèmes!$A$65:$A$148,Barèmes!$G$65:$G$148),0)</f>
        <v>0</v>
      </c>
    </row>
    <row r="19" spans="1:15" s="43" customFormat="1" ht="15.75" customHeight="1" x14ac:dyDescent="0.25">
      <c r="A19" s="148">
        <f>TRI_prix!A13</f>
        <v>2018</v>
      </c>
      <c r="B19" s="121">
        <f>Cot_droits!C18/LOOKUP($A19,Barèmes!$A$65:$A$148,Barèmes!$G$65:$G$148)</f>
        <v>0</v>
      </c>
      <c r="C19" s="135"/>
      <c r="D19" s="131">
        <f>IF($A19&lt;$D$5+$D$4,0,IF(AND($A19&gt;=$D$5,$A19&lt;=INT($D$8)-1+$D$4),LOOKUP($A19,Retraite!$A$7:$A$47,Retraite!$K$7:$K$47)/LOOKUP($A19,Barèmes!$A$65:$A$148,Barèmes!$G$65:$G$148),IF($A19=INT($D$8+$D$4),(LOOKUP($A19,Retraite!$A$7:$A$47,Retraite!$K$7:$K$47)/LOOKUP($A19,Barèmes!$A$65:$A$148,Barèmes!$G$65:$G$148))*(1-(INT($D$8)+1-$D$8)),0)))</f>
        <v>0</v>
      </c>
      <c r="E19" s="151">
        <f>IF($A19&lt;$D$5+$D$4,0,IF(AND($A19&gt;=$D$5,$A19&lt;=INT($D$8)-1+$D$4),LOOKUP($A19,Retraite!$A$7:$A$47,Retraite!$N$7:$N$47)/LOOKUP($A19,Barèmes!$A$65:$A$148,Barèmes!$G$65:$G$148),IF($A19=INT($D$8+$D$4),(LOOKUP($A19,Retraite!$A$7:$A$47,Retraite!$N$7:$N$47)/LOOKUP($A19,Barèmes!$A$65:$A$148,Barèmes!$G$65:$G$148))*(1-(INT($D$8)+1-$D$8)),0)))</f>
        <v>0</v>
      </c>
      <c r="F19" s="121">
        <f>IF($A19&lt;$D$5+$D$4,LOOKUP($A19,Cot_droits!$A$17:$A$68,Cot_droits!$Q$17:$Q$68)/LOOKUP($A19,Barèmes!$A$65:$A$148,Barèmes!$G$65:$G$148),0)</f>
        <v>0</v>
      </c>
      <c r="H19" s="131">
        <f>IF($A19&lt;$D$5+$D$4,0,IF(AND($A19&gt;=$D$5,$A19&lt;=INT($D$8)-1+$D$4),LOOKUP($A19,Retraite!$A$7:$A$47,Retraite!$L$7:$L$47)/LOOKUP($A19,Barèmes!$A$65:$A$148,Barèmes!$G$65:$G$148),IF($A19=INT($D$8+$D$4),(LOOKUP($A19,Retraite!$A$7:$A$47,Retraite!$L$7:$L$47)/LOOKUP($A19,Barèmes!$A$65:$A$148,Barèmes!$G$65:$G$148))*(1-(INT($D$8)+1-$D$8)),0)))</f>
        <v>0</v>
      </c>
      <c r="I19" s="151">
        <f>IF($A19&lt;$D$5+$D$4,0,IF(AND($A19&gt;=$D$5,$A19&lt;=INT($D$8)-1+$D$4),LOOKUP($A19,Retraite!$A$7:$A$47,Retraite!$P$7:$P$47)/LOOKUP($A19,Barèmes!$A$65:$A$148,Barèmes!$G$65:$G$148),IF($A19=INT($D$8+$D$4),(LOOKUP($A19,Retraite!$A$7:$A$47,Retraite!$P$7:$P$47)/LOOKUP($A19,Barèmes!$A$65:$A$148,Barèmes!$G$65:$G$148))*(1-(INT($D$8)+1-$D$8)),0)))</f>
        <v>0</v>
      </c>
      <c r="J19" s="121">
        <f>IF($A19&lt;$D$5+$D$4,(LOOKUP($A19,Cot_droits!$A$17:$A$68,Cot_droits!$H$17:$H$68)+LOOKUP($A19,Cot_droits!$A$17:$A$68,Cot_droits!$L$17:$L$68))/LOOKUP($A19,Barèmes!$A$65:$A$148,Barèmes!$G$65:$G$148),0)</f>
        <v>0</v>
      </c>
      <c r="L19" s="131">
        <f>IF($A19&lt;$D$5+$D$4,0,IF(AND($A19&gt;=$D$5,$A19&lt;=INT($D$8)-1+$D$4),LOOKUP($A19,Retraite!$A$7:$A$47,Retraite!$M$7:$M$47)/LOOKUP($A19,Barèmes!$A$65:$A$148,Barèmes!$G$65:$G$148),IF($A19=INT($D$8+$D$4),(LOOKUP($A19,Retraite!$A$7:$A$47,Retraite!$M$7:$M$47)/LOOKUP($A19,Barèmes!$A$65:$A$148,Barèmes!$G$65:$G$148))*(1-(INT($D$8)+1-$D$8)),0)))</f>
        <v>0</v>
      </c>
      <c r="M19" s="151">
        <f>IF($A19&lt;$D$5+$D$4,0,IF(AND($A19&gt;=$D$5,$A19&lt;=INT($D$8)-1+$D$4),LOOKUP($A19,Retraite!$A$7:$A$47,Retraite!$Q$7:$Q$47)/LOOKUP($A19,Barèmes!$A$65:$A$148,Barèmes!$G$65:$G$148),IF($A19=INT($D$8+$D$4),(LOOKUP($A19,Retraite!$A$7:$A$47,Retraite!$Q$7:$Q$47)/LOOKUP($A19,Barèmes!$A$65:$A$148,Barèmes!$G$65:$G$148))*(1-(INT($D$8)+1-$D$8)),0)))</f>
        <v>0</v>
      </c>
      <c r="N19" s="121">
        <f>IF($A19&lt;$D$5+$D$4,(LOOKUP($A19,Cot_droits!$A$17:$A$68,Cot_droits!$I$17:$I$68)+LOOKUP($A19,Cot_droits!$A$17:$A$68,Cot_droits!$J$17:$J$68)+LOOKUP($A19,Cot_droits!$A$17:$A$68,Cot_droits!$N$17:$N$68))/LOOKUP($A19,Barèmes!$A$65:$A$148,Barèmes!$G$65:$G$148),0)</f>
        <v>0</v>
      </c>
    </row>
    <row r="20" spans="1:15" s="43" customFormat="1" ht="15.75" customHeight="1" x14ac:dyDescent="0.25">
      <c r="A20" s="148">
        <f>TRI_prix!A14</f>
        <v>2019</v>
      </c>
      <c r="B20" s="121">
        <f>Cot_droits!C19/LOOKUP($A20,Barèmes!$A$65:$A$148,Barèmes!$G$65:$G$148)</f>
        <v>0</v>
      </c>
      <c r="C20" s="135"/>
      <c r="D20" s="131">
        <f>IF($A20&lt;$D$5+$D$4,0,IF(AND($A20&gt;=$D$5,$A20&lt;=INT($D$8)-1+$D$4),LOOKUP($A20,Retraite!$A$7:$A$47,Retraite!$K$7:$K$47)/LOOKUP($A20,Barèmes!$A$65:$A$148,Barèmes!$G$65:$G$148),IF($A20=INT($D$8+$D$4),(LOOKUP($A20,Retraite!$A$7:$A$47,Retraite!$K$7:$K$47)/LOOKUP($A20,Barèmes!$A$65:$A$148,Barèmes!$G$65:$G$148))*(1-(INT($D$8)+1-$D$8)),0)))</f>
        <v>0</v>
      </c>
      <c r="E20" s="151">
        <f>IF($A20&lt;$D$5+$D$4,0,IF(AND($A20&gt;=$D$5,$A20&lt;=INT($D$8)-1+$D$4),LOOKUP($A20,Retraite!$A$7:$A$47,Retraite!$N$7:$N$47)/LOOKUP($A20,Barèmes!$A$65:$A$148,Barèmes!$G$65:$G$148),IF($A20=INT($D$8+$D$4),(LOOKUP($A20,Retraite!$A$7:$A$47,Retraite!$N$7:$N$47)/LOOKUP($A20,Barèmes!$A$65:$A$148,Barèmes!$G$65:$G$148))*(1-(INT($D$8)+1-$D$8)),0)))</f>
        <v>0</v>
      </c>
      <c r="F20" s="121">
        <f>IF($A20&lt;$D$5+$D$4,LOOKUP($A20,Cot_droits!$A$17:$A$68,Cot_droits!$Q$17:$Q$68)/LOOKUP($A20,Barèmes!$A$65:$A$148,Barèmes!$G$65:$G$148),0)</f>
        <v>0</v>
      </c>
      <c r="H20" s="131">
        <f>IF($A20&lt;$D$5+$D$4,0,IF(AND($A20&gt;=$D$5,$A20&lt;=INT($D$8)-1+$D$4),LOOKUP($A20,Retraite!$A$7:$A$47,Retraite!$L$7:$L$47)/LOOKUP($A20,Barèmes!$A$65:$A$148,Barèmes!$G$65:$G$148),IF($A20=INT($D$8+$D$4),(LOOKUP($A20,Retraite!$A$7:$A$47,Retraite!$L$7:$L$47)/LOOKUP($A20,Barèmes!$A$65:$A$148,Barèmes!$G$65:$G$148))*(1-(INT($D$8)+1-$D$8)),0)))</f>
        <v>0</v>
      </c>
      <c r="I20" s="151">
        <f>IF($A20&lt;$D$5+$D$4,0,IF(AND($A20&gt;=$D$5,$A20&lt;=INT($D$8)-1+$D$4),LOOKUP($A20,Retraite!$A$7:$A$47,Retraite!$P$7:$P$47)/LOOKUP($A20,Barèmes!$A$65:$A$148,Barèmes!$G$65:$G$148),IF($A20=INT($D$8+$D$4),(LOOKUP($A20,Retraite!$A$7:$A$47,Retraite!$P$7:$P$47)/LOOKUP($A20,Barèmes!$A$65:$A$148,Barèmes!$G$65:$G$148))*(1-(INT($D$8)+1-$D$8)),0)))</f>
        <v>0</v>
      </c>
      <c r="J20" s="121">
        <f>IF($A20&lt;$D$5+$D$4,(LOOKUP($A20,Cot_droits!$A$17:$A$68,Cot_droits!$H$17:$H$68)+LOOKUP($A20,Cot_droits!$A$17:$A$68,Cot_droits!$L$17:$L$68))/LOOKUP($A20,Barèmes!$A$65:$A$148,Barèmes!$G$65:$G$148),0)</f>
        <v>0</v>
      </c>
      <c r="L20" s="131">
        <f>IF($A20&lt;$D$5+$D$4,0,IF(AND($A20&gt;=$D$5,$A20&lt;=INT($D$8)-1+$D$4),LOOKUP($A20,Retraite!$A$7:$A$47,Retraite!$M$7:$M$47)/LOOKUP($A20,Barèmes!$A$65:$A$148,Barèmes!$G$65:$G$148),IF($A20=INT($D$8+$D$4),(LOOKUP($A20,Retraite!$A$7:$A$47,Retraite!$M$7:$M$47)/LOOKUP($A20,Barèmes!$A$65:$A$148,Barèmes!$G$65:$G$148))*(1-(INT($D$8)+1-$D$8)),0)))</f>
        <v>0</v>
      </c>
      <c r="M20" s="151">
        <f>IF($A20&lt;$D$5+$D$4,0,IF(AND($A20&gt;=$D$5,$A20&lt;=INT($D$8)-1+$D$4),LOOKUP($A20,Retraite!$A$7:$A$47,Retraite!$Q$7:$Q$47)/LOOKUP($A20,Barèmes!$A$65:$A$148,Barèmes!$G$65:$G$148),IF($A20=INT($D$8+$D$4),(LOOKUP($A20,Retraite!$A$7:$A$47,Retraite!$Q$7:$Q$47)/LOOKUP($A20,Barèmes!$A$65:$A$148,Barèmes!$G$65:$G$148))*(1-(INT($D$8)+1-$D$8)),0)))</f>
        <v>0</v>
      </c>
      <c r="N20" s="121">
        <f>IF($A20&lt;$D$5+$D$4,(LOOKUP($A20,Cot_droits!$A$17:$A$68,Cot_droits!$I$17:$I$68)+LOOKUP($A20,Cot_droits!$A$17:$A$68,Cot_droits!$J$17:$J$68)+LOOKUP($A20,Cot_droits!$A$17:$A$68,Cot_droits!$N$17:$N$68))/LOOKUP($A20,Barèmes!$A$65:$A$148,Barèmes!$G$65:$G$148),0)</f>
        <v>0</v>
      </c>
    </row>
    <row r="21" spans="1:15" s="43" customFormat="1" ht="15.75" customHeight="1" x14ac:dyDescent="0.25">
      <c r="A21" s="148">
        <f>TRI_prix!A15</f>
        <v>2020</v>
      </c>
      <c r="B21" s="121">
        <f>Cot_droits!C20/LOOKUP($A21,Barèmes!$A$65:$A$148,Barèmes!$G$65:$G$148)</f>
        <v>0</v>
      </c>
      <c r="C21" s="135"/>
      <c r="D21" s="131">
        <f>IF($A21&lt;$D$5+$D$4,0,IF(AND($A21&gt;=$D$5,$A21&lt;=INT($D$8)-1+$D$4),LOOKUP($A21,Retraite!$A$7:$A$47,Retraite!$K$7:$K$47)/LOOKUP($A21,Barèmes!$A$65:$A$148,Barèmes!$G$65:$G$148),IF($A21=INT($D$8+$D$4),(LOOKUP($A21,Retraite!$A$7:$A$47,Retraite!$K$7:$K$47)/LOOKUP($A21,Barèmes!$A$65:$A$148,Barèmes!$G$65:$G$148))*(1-(INT($D$8)+1-$D$8)),0)))</f>
        <v>0</v>
      </c>
      <c r="E21" s="151">
        <f>IF($A21&lt;$D$5+$D$4,0,IF(AND($A21&gt;=$D$5,$A21&lt;=INT($D$8)-1+$D$4),LOOKUP($A21,Retraite!$A$7:$A$47,Retraite!$N$7:$N$47)/LOOKUP($A21,Barèmes!$A$65:$A$148,Barèmes!$G$65:$G$148),IF($A21=INT($D$8+$D$4),(LOOKUP($A21,Retraite!$A$7:$A$47,Retraite!$N$7:$N$47)/LOOKUP($A21,Barèmes!$A$65:$A$148,Barèmes!$G$65:$G$148))*(1-(INT($D$8)+1-$D$8)),0)))</f>
        <v>0</v>
      </c>
      <c r="F21" s="121">
        <f>IF($A21&lt;$D$5+$D$4,LOOKUP($A21,Cot_droits!$A$17:$A$68,Cot_droits!$Q$17:$Q$68)/LOOKUP($A21,Barèmes!$A$65:$A$148,Barèmes!$G$65:$G$148),0)</f>
        <v>0</v>
      </c>
      <c r="H21" s="131">
        <f>IF($A21&lt;$D$5+$D$4,0,IF(AND($A21&gt;=$D$5,$A21&lt;=INT($D$8)-1+$D$4),LOOKUP($A21,Retraite!$A$7:$A$47,Retraite!$L$7:$L$47)/LOOKUP($A21,Barèmes!$A$65:$A$148,Barèmes!$G$65:$G$148),IF($A21=INT($D$8+$D$4),(LOOKUP($A21,Retraite!$A$7:$A$47,Retraite!$L$7:$L$47)/LOOKUP($A21,Barèmes!$A$65:$A$148,Barèmes!$G$65:$G$148))*(1-(INT($D$8)+1-$D$8)),0)))</f>
        <v>0</v>
      </c>
      <c r="I21" s="151">
        <f>IF($A21&lt;$D$5+$D$4,0,IF(AND($A21&gt;=$D$5,$A21&lt;=INT($D$8)-1+$D$4),LOOKUP($A21,Retraite!$A$7:$A$47,Retraite!$P$7:$P$47)/LOOKUP($A21,Barèmes!$A$65:$A$148,Barèmes!$G$65:$G$148),IF($A21=INT($D$8+$D$4),(LOOKUP($A21,Retraite!$A$7:$A$47,Retraite!$P$7:$P$47)/LOOKUP($A21,Barèmes!$A$65:$A$148,Barèmes!$G$65:$G$148))*(1-(INT($D$8)+1-$D$8)),0)))</f>
        <v>0</v>
      </c>
      <c r="J21" s="121">
        <f>IF($A21&lt;$D$5+$D$4,(LOOKUP($A21,Cot_droits!$A$17:$A$68,Cot_droits!$H$17:$H$68)+LOOKUP($A21,Cot_droits!$A$17:$A$68,Cot_droits!$L$17:$L$68))/LOOKUP($A21,Barèmes!$A$65:$A$148,Barèmes!$G$65:$G$148),0)</f>
        <v>0</v>
      </c>
      <c r="L21" s="131">
        <f>IF($A21&lt;$D$5+$D$4,0,IF(AND($A21&gt;=$D$5,$A21&lt;=INT($D$8)-1+$D$4),LOOKUP($A21,Retraite!$A$7:$A$47,Retraite!$M$7:$M$47)/LOOKUP($A21,Barèmes!$A$65:$A$148,Barèmes!$G$65:$G$148),IF($A21=INT($D$8+$D$4),(LOOKUP($A21,Retraite!$A$7:$A$47,Retraite!$M$7:$M$47)/LOOKUP($A21,Barèmes!$A$65:$A$148,Barèmes!$G$65:$G$148))*(1-(INT($D$8)+1-$D$8)),0)))</f>
        <v>0</v>
      </c>
      <c r="M21" s="151">
        <f>IF($A21&lt;$D$5+$D$4,0,IF(AND($A21&gt;=$D$5,$A21&lt;=INT($D$8)-1+$D$4),LOOKUP($A21,Retraite!$A$7:$A$47,Retraite!$Q$7:$Q$47)/LOOKUP($A21,Barèmes!$A$65:$A$148,Barèmes!$G$65:$G$148),IF($A21=INT($D$8+$D$4),(LOOKUP($A21,Retraite!$A$7:$A$47,Retraite!$Q$7:$Q$47)/LOOKUP($A21,Barèmes!$A$65:$A$148,Barèmes!$G$65:$G$148))*(1-(INT($D$8)+1-$D$8)),0)))</f>
        <v>0</v>
      </c>
      <c r="N21" s="121">
        <f>IF($A21&lt;$D$5+$D$4,(LOOKUP($A21,Cot_droits!$A$17:$A$68,Cot_droits!$I$17:$I$68)+LOOKUP($A21,Cot_droits!$A$17:$A$68,Cot_droits!$J$17:$J$68)+LOOKUP($A21,Cot_droits!$A$17:$A$68,Cot_droits!$N$17:$N$68))/LOOKUP($A21,Barèmes!$A$65:$A$148,Barèmes!$G$65:$G$148),0)</f>
        <v>0</v>
      </c>
    </row>
    <row r="22" spans="1:15" s="43" customFormat="1" ht="15.75" customHeight="1" x14ac:dyDescent="0.25">
      <c r="A22" s="148">
        <f>TRI_prix!A16</f>
        <v>2021</v>
      </c>
      <c r="B22" s="121">
        <f>Cot_droits!C21/LOOKUP($A22,Barèmes!$A$65:$A$148,Barèmes!$G$65:$G$148)</f>
        <v>13951.879458436993</v>
      </c>
      <c r="C22" s="135"/>
      <c r="D22" s="131">
        <f>IF($A22&lt;$D$5+$D$4,0,IF(AND($A22&gt;=$D$5,$A22&lt;=INT($D$8)-1+$D$4),LOOKUP($A22,Retraite!$A$7:$A$47,Retraite!$K$7:$K$47)/LOOKUP($A22,Barèmes!$A$65:$A$148,Barèmes!$G$65:$G$148),IF($A22=INT($D$8+$D$4),(LOOKUP($A22,Retraite!$A$7:$A$47,Retraite!$K$7:$K$47)/LOOKUP($A22,Barèmes!$A$65:$A$148,Barèmes!$G$65:$G$148))*(1-(INT($D$8)+1-$D$8)),0)))</f>
        <v>0</v>
      </c>
      <c r="E22" s="151">
        <f>IF($A22&lt;$D$5+$D$4,0,IF(AND($A22&gt;=$D$5,$A22&lt;=INT($D$8)-1+$D$4),LOOKUP($A22,Retraite!$A$7:$A$47,Retraite!$N$7:$N$47)/LOOKUP($A22,Barèmes!$A$65:$A$148,Barèmes!$G$65:$G$148),IF($A22=INT($D$8+$D$4),(LOOKUP($A22,Retraite!$A$7:$A$47,Retraite!$N$7:$N$47)/LOOKUP($A22,Barèmes!$A$65:$A$148,Barèmes!$G$65:$G$148))*(1-(INT($D$8)+1-$D$8)),0)))</f>
        <v>0</v>
      </c>
      <c r="F22" s="121">
        <f>IF($A22&lt;$D$5+$D$4,LOOKUP($A22,Cot_droits!$A$17:$A$68,Cot_droits!$Q$17:$Q$68)/LOOKUP($A22,Barèmes!$A$65:$A$148,Barèmes!$G$65:$G$148),0)</f>
        <v>1577.9017592313899</v>
      </c>
      <c r="H22" s="131">
        <f>IF($A22&lt;$D$5+$D$4,0,IF(AND($A22&gt;=$D$5,$A22&lt;=INT($D$8)-1+$D$4),LOOKUP($A22,Retraite!$A$7:$A$47,Retraite!$L$7:$L$47)/LOOKUP($A22,Barèmes!$A$65:$A$148,Barèmes!$G$65:$G$148),IF($A22=INT($D$8+$D$4),(LOOKUP($A22,Retraite!$A$7:$A$47,Retraite!$L$7:$L$47)/LOOKUP($A22,Barèmes!$A$65:$A$148,Barèmes!$G$65:$G$148))*(1-(INT($D$8)+1-$D$8)),0)))</f>
        <v>0</v>
      </c>
      <c r="I22" s="151">
        <f>IF($A22&lt;$D$5+$D$4,0,IF(AND($A22&gt;=$D$5,$A22&lt;=INT($D$8)-1+$D$4),LOOKUP($A22,Retraite!$A$7:$A$47,Retraite!$P$7:$P$47)/LOOKUP($A22,Barèmes!$A$65:$A$148,Barèmes!$G$65:$G$148),IF($A22=INT($D$8+$D$4),(LOOKUP($A22,Retraite!$A$7:$A$47,Retraite!$P$7:$P$47)/LOOKUP($A22,Barèmes!$A$65:$A$148,Barèmes!$G$65:$G$148))*(1-(INT($D$8)+1-$D$8)),0)))</f>
        <v>0</v>
      </c>
      <c r="J22" s="121">
        <f>IF($A22&lt;$D$5+$D$4,(LOOKUP($A22,Cot_droits!$A$17:$A$68,Cot_droits!$H$17:$H$68)+LOOKUP($A22,Cot_droits!$A$17:$A$68,Cot_droits!$L$17:$L$68))/LOOKUP($A22,Barèmes!$A$65:$A$148,Barèmes!$G$65:$G$148),0)</f>
        <v>1018.4872004659005</v>
      </c>
      <c r="L22" s="131">
        <f>IF($A22&lt;$D$5+$D$4,0,IF(AND($A22&gt;=$D$5,$A22&lt;=INT($D$8)-1+$D$4),LOOKUP($A22,Retraite!$A$7:$A$47,Retraite!$M$7:$M$47)/LOOKUP($A22,Barèmes!$A$65:$A$148,Barèmes!$G$65:$G$148),IF($A22=INT($D$8+$D$4),(LOOKUP($A22,Retraite!$A$7:$A$47,Retraite!$M$7:$M$47)/LOOKUP($A22,Barèmes!$A$65:$A$148,Barèmes!$G$65:$G$148))*(1-(INT($D$8)+1-$D$8)),0)))</f>
        <v>0</v>
      </c>
      <c r="M22" s="151">
        <f>IF($A22&lt;$D$5+$D$4,0,IF(AND($A22&gt;=$D$5,$A22&lt;=INT($D$8)-1+$D$4),LOOKUP($A22,Retraite!$A$7:$A$47,Retraite!$Q$7:$Q$47)/LOOKUP($A22,Barèmes!$A$65:$A$148,Barèmes!$G$65:$G$148),IF($A22=INT($D$8+$D$4),(LOOKUP($A22,Retraite!$A$7:$A$47,Retraite!$Q$7:$Q$47)/LOOKUP($A22,Barèmes!$A$65:$A$148,Barèmes!$G$65:$G$148))*(1-(INT($D$8)+1-$D$8)),0)))</f>
        <v>0</v>
      </c>
      <c r="N22" s="121">
        <f>IF($A22&lt;$D$5+$D$4,(LOOKUP($A22,Cot_droits!$A$17:$A$68,Cot_droits!$I$17:$I$68)+LOOKUP($A22,Cot_droits!$A$17:$A$68,Cot_droits!$J$17:$J$68)+LOOKUP($A22,Cot_droits!$A$17:$A$68,Cot_droits!$N$17:$N$68))/LOOKUP($A22,Barèmes!$A$65:$A$148,Barèmes!$G$65:$G$148),0)</f>
        <v>559.41455876548946</v>
      </c>
    </row>
    <row r="23" spans="1:15" s="43" customFormat="1" ht="15.75" customHeight="1" x14ac:dyDescent="0.25">
      <c r="A23" s="148">
        <f>TRI_prix!A17</f>
        <v>2022</v>
      </c>
      <c r="B23" s="121">
        <f>Cot_droits!C22/LOOKUP($A23,Barèmes!$A$65:$A$148,Barèmes!$G$65:$G$148)</f>
        <v>16271.209958261074</v>
      </c>
      <c r="C23" s="135"/>
      <c r="D23" s="131">
        <f>IF($A23&lt;$D$5+$D$4,0,IF(AND($A23&gt;=$D$5,$A23&lt;=INT($D$8)-1+$D$4),LOOKUP($A23,Retraite!$A$7:$A$47,Retraite!$K$7:$K$47)/LOOKUP($A23,Barèmes!$A$65:$A$148,Barèmes!$G$65:$G$148),IF($A23=INT($D$8+$D$4),(LOOKUP($A23,Retraite!$A$7:$A$47,Retraite!$K$7:$K$47)/LOOKUP($A23,Barèmes!$A$65:$A$148,Barèmes!$G$65:$G$148))*(1-(INT($D$8)+1-$D$8)),0)))</f>
        <v>0</v>
      </c>
      <c r="E23" s="151">
        <f>IF($A23&lt;$D$5+$D$4,0,IF(AND($A23&gt;=$D$5,$A23&lt;=INT($D$8)-1+$D$4),LOOKUP($A23,Retraite!$A$7:$A$47,Retraite!$N$7:$N$47)/LOOKUP($A23,Barèmes!$A$65:$A$148,Barèmes!$G$65:$G$148),IF($A23=INT($D$8+$D$4),(LOOKUP($A23,Retraite!$A$7:$A$47,Retraite!$N$7:$N$47)/LOOKUP($A23,Barèmes!$A$65:$A$148,Barèmes!$G$65:$G$148))*(1-(INT($D$8)+1-$D$8)),0)))</f>
        <v>0</v>
      </c>
      <c r="F23" s="121">
        <f>IF($A23&lt;$D$5+$D$4,LOOKUP($A23,Cot_droits!$A$17:$A$68,Cot_droits!$Q$17:$Q$68)/LOOKUP($A23,Barèmes!$A$65:$A$148,Barèmes!$G$65:$G$148),0)</f>
        <v>1840.2087614394939</v>
      </c>
      <c r="H23" s="131">
        <f>IF($A23&lt;$D$5+$D$4,0,IF(AND($A23&gt;=$D$5,$A23&lt;=INT($D$8)-1+$D$4),LOOKUP($A23,Retraite!$A$7:$A$47,Retraite!$L$7:$L$47)/LOOKUP($A23,Barèmes!$A$65:$A$148,Barèmes!$G$65:$G$148),IF($A23=INT($D$8+$D$4),(LOOKUP($A23,Retraite!$A$7:$A$47,Retraite!$L$7:$L$47)/LOOKUP($A23,Barèmes!$A$65:$A$148,Barèmes!$G$65:$G$148))*(1-(INT($D$8)+1-$D$8)),0)))</f>
        <v>0</v>
      </c>
      <c r="I23" s="151">
        <f>IF($A23&lt;$D$5+$D$4,0,IF(AND($A23&gt;=$D$5,$A23&lt;=INT($D$8)-1+$D$4),LOOKUP($A23,Retraite!$A$7:$A$47,Retraite!$P$7:$P$47)/LOOKUP($A23,Barèmes!$A$65:$A$148,Barèmes!$G$65:$G$148),IF($A23=INT($D$8+$D$4),(LOOKUP($A23,Retraite!$A$7:$A$47,Retraite!$P$7:$P$47)/LOOKUP($A23,Barèmes!$A$65:$A$148,Barèmes!$G$65:$G$148))*(1-(INT($D$8)+1-$D$8)),0)))</f>
        <v>0</v>
      </c>
      <c r="J23" s="121">
        <f>IF($A23&lt;$D$5+$D$4,(LOOKUP($A23,Cot_droits!$A$17:$A$68,Cot_droits!$H$17:$H$68)+LOOKUP($A23,Cot_droits!$A$17:$A$68,Cot_droits!$L$17:$L$68))/LOOKUP($A23,Barèmes!$A$65:$A$148,Barèmes!$G$65:$G$148),0)</f>
        <v>1187.798326953058</v>
      </c>
      <c r="L23" s="131">
        <f>IF($A23&lt;$D$5+$D$4,0,IF(AND($A23&gt;=$D$5,$A23&lt;=INT($D$8)-1+$D$4),LOOKUP($A23,Retraite!$A$7:$A$47,Retraite!$M$7:$M$47)/LOOKUP($A23,Barèmes!$A$65:$A$148,Barèmes!$G$65:$G$148),IF($A23=INT($D$8+$D$4),(LOOKUP($A23,Retraite!$A$7:$A$47,Retraite!$M$7:$M$47)/LOOKUP($A23,Barèmes!$A$65:$A$148,Barèmes!$G$65:$G$148))*(1-(INT($D$8)+1-$D$8)),0)))</f>
        <v>0</v>
      </c>
      <c r="M23" s="151">
        <f>IF($A23&lt;$D$5+$D$4,0,IF(AND($A23&gt;=$D$5,$A23&lt;=INT($D$8)-1+$D$4),LOOKUP($A23,Retraite!$A$7:$A$47,Retraite!$Q$7:$Q$47)/LOOKUP($A23,Barèmes!$A$65:$A$148,Barèmes!$G$65:$G$148),IF($A23=INT($D$8+$D$4),(LOOKUP($A23,Retraite!$A$7:$A$47,Retraite!$Q$7:$Q$47)/LOOKUP($A23,Barèmes!$A$65:$A$148,Barèmes!$G$65:$G$148))*(1-(INT($D$8)+1-$D$8)),0)))</f>
        <v>0</v>
      </c>
      <c r="N23" s="121">
        <f>IF($A23&lt;$D$5+$D$4,(LOOKUP($A23,Cot_droits!$A$17:$A$68,Cot_droits!$I$17:$I$68)+LOOKUP($A23,Cot_droits!$A$17:$A$68,Cot_droits!$J$17:$J$68)+LOOKUP($A23,Cot_droits!$A$17:$A$68,Cot_droits!$N$17:$N$68))/LOOKUP($A23,Barèmes!$A$65:$A$148,Barèmes!$G$65:$G$148),0)</f>
        <v>652.41043448643586</v>
      </c>
    </row>
    <row r="24" spans="1:15" s="43" customFormat="1" ht="15.75" customHeight="1" x14ac:dyDescent="0.25">
      <c r="A24" s="148">
        <f>TRI_prix!A18</f>
        <v>2023</v>
      </c>
      <c r="B24" s="121">
        <f>Cot_droits!C23/LOOKUP($A24,Barèmes!$A$65:$A$148,Barèmes!$G$65:$G$148)</f>
        <v>20106.293800912212</v>
      </c>
      <c r="C24" s="135"/>
      <c r="D24" s="131">
        <f>IF($A24&lt;$D$5+$D$4,0,IF(AND($A24&gt;=$D$5,$A24&lt;=INT($D$8)-1+$D$4),LOOKUP($A24,Retraite!$A$7:$A$47,Retraite!$K$7:$K$47)/LOOKUP($A24,Barèmes!$A$65:$A$148,Barèmes!$G$65:$G$148),IF($A24=INT($D$8+$D$4),(LOOKUP($A24,Retraite!$A$7:$A$47,Retraite!$K$7:$K$47)/LOOKUP($A24,Barèmes!$A$65:$A$148,Barèmes!$G$65:$G$148))*(1-(INT($D$8)+1-$D$8)),0)))</f>
        <v>0</v>
      </c>
      <c r="E24" s="151">
        <f>IF($A24&lt;$D$5+$D$4,0,IF(AND($A24&gt;=$D$5,$A24&lt;=INT($D$8)-1+$D$4),LOOKUP($A24,Retraite!$A$7:$A$47,Retraite!$N$7:$N$47)/LOOKUP($A24,Barèmes!$A$65:$A$148,Barèmes!$G$65:$G$148),IF($A24=INT($D$8+$D$4),(LOOKUP($A24,Retraite!$A$7:$A$47,Retraite!$N$7:$N$47)/LOOKUP($A24,Barèmes!$A$65:$A$148,Barèmes!$G$65:$G$148))*(1-(INT($D$8)+1-$D$8)),0)))</f>
        <v>0</v>
      </c>
      <c r="F24" s="121">
        <f>IF($A24&lt;$D$5+$D$4,LOOKUP($A24,Cot_droits!$A$17:$A$68,Cot_droits!$Q$17:$Q$68)/LOOKUP($A24,Barèmes!$A$65:$A$148,Barèmes!$G$65:$G$148),0)</f>
        <v>3502.6063043383915</v>
      </c>
      <c r="G24" s="115"/>
      <c r="H24" s="131">
        <f>IF($A24&lt;$D$5+$D$4,0,IF(AND($A24&gt;=$D$5,$A24&lt;=INT($D$8)-1+$D$4),LOOKUP($A24,Retraite!$A$7:$A$47,Retraite!$L$7:$L$47)/LOOKUP($A24,Barèmes!$A$65:$A$148,Barèmes!$G$65:$G$148),IF($A24=INT($D$8+$D$4),(LOOKUP($A24,Retraite!$A$7:$A$47,Retraite!$L$7:$L$47)/LOOKUP($A24,Barèmes!$A$65:$A$148,Barèmes!$G$65:$G$148))*(1-(INT($D$8)+1-$D$8)),0)))</f>
        <v>0</v>
      </c>
      <c r="I24" s="151">
        <f>IF($A24&lt;$D$5+$D$4,0,IF(AND($A24&gt;=$D$5,$A24&lt;=INT($D$8)-1+$D$4),LOOKUP($A24,Retraite!$A$7:$A$47,Retraite!$P$7:$P$47)/LOOKUP($A24,Barèmes!$A$65:$A$148,Barèmes!$G$65:$G$148),IF($A24=INT($D$8+$D$4),(LOOKUP($A24,Retraite!$A$7:$A$47,Retraite!$P$7:$P$47)/LOOKUP($A24,Barèmes!$A$65:$A$148,Barèmes!$G$65:$G$148))*(1-(INT($D$8)+1-$D$8)),0)))</f>
        <v>0</v>
      </c>
      <c r="J24" s="121">
        <f>IF($A24&lt;$D$5+$D$4,(LOOKUP($A24,Cot_droits!$A$17:$A$68,Cot_droits!$H$17:$H$68)+LOOKUP($A24,Cot_droits!$A$17:$A$68,Cot_droits!$L$17:$L$68))/LOOKUP($A24,Barèmes!$A$65:$A$148,Barèmes!$G$65:$G$148),0)</f>
        <v>2247.5964419266343</v>
      </c>
      <c r="L24" s="131">
        <f>IF($A24&lt;$D$5+$D$4,0,IF(AND($A24&gt;=$D$5,$A24&lt;=INT($D$8)-1+$D$4),LOOKUP($A24,Retraite!$A$7:$A$47,Retraite!$M$7:$M$47)/LOOKUP($A24,Barèmes!$A$65:$A$148,Barèmes!$G$65:$G$148),IF($A24=INT($D$8+$D$4),(LOOKUP($A24,Retraite!$A$7:$A$47,Retraite!$M$7:$M$47)/LOOKUP($A24,Barèmes!$A$65:$A$148,Barèmes!$G$65:$G$148))*(1-(INT($D$8)+1-$D$8)),0)))</f>
        <v>0</v>
      </c>
      <c r="M24" s="151">
        <f>IF($A24&lt;$D$5+$D$4,0,IF(AND($A24&gt;=$D$5,$A24&lt;=INT($D$8)-1+$D$4),LOOKUP($A24,Retraite!$A$7:$A$47,Retraite!$Q$7:$Q$47)/LOOKUP($A24,Barèmes!$A$65:$A$148,Barèmes!$G$65:$G$148),IF($A24=INT($D$8+$D$4),(LOOKUP($A24,Retraite!$A$7:$A$47,Retraite!$Q$7:$Q$47)/LOOKUP($A24,Barèmes!$A$65:$A$148,Barèmes!$G$65:$G$148))*(1-(INT($D$8)+1-$D$8)),0)))</f>
        <v>0</v>
      </c>
      <c r="N24" s="121">
        <f>IF($A24&lt;$D$5+$D$4,(LOOKUP($A24,Cot_droits!$A$17:$A$68,Cot_droits!$I$17:$I$68)+LOOKUP($A24,Cot_droits!$A$17:$A$68,Cot_droits!$J$17:$J$68)+LOOKUP($A24,Cot_droits!$A$17:$A$68,Cot_droits!$N$17:$N$68))/LOOKUP($A24,Barèmes!$A$65:$A$148,Barèmes!$G$65:$G$148),0)</f>
        <v>1255.0098624117572</v>
      </c>
      <c r="O24" s="115"/>
    </row>
    <row r="25" spans="1:15" s="43" customFormat="1" ht="15.75" customHeight="1" x14ac:dyDescent="0.25">
      <c r="A25" s="148">
        <f>TRI_prix!A19</f>
        <v>2024</v>
      </c>
      <c r="B25" s="121">
        <f>Cot_droits!C24/LOOKUP($A25,Barèmes!$A$65:$A$148,Barèmes!$G$65:$G$148)</f>
        <v>21476.795164935644</v>
      </c>
      <c r="C25" s="135"/>
      <c r="D25" s="131">
        <f>IF($A25&lt;$D$5+$D$4,0,IF(AND($A25&gt;=$D$5,$A25&lt;=INT($D$8)-1+$D$4),LOOKUP($A25,Retraite!$A$7:$A$47,Retraite!$K$7:$K$47)/LOOKUP($A25,Barèmes!$A$65:$A$148,Barèmes!$G$65:$G$148),IF($A25=INT($D$8+$D$4),(LOOKUP($A25,Retraite!$A$7:$A$47,Retraite!$K$7:$K$47)/LOOKUP($A25,Barèmes!$A$65:$A$148,Barèmes!$G$65:$G$148))*(1-(INT($D$8)+1-$D$8)),0)))</f>
        <v>0</v>
      </c>
      <c r="E25" s="151">
        <f>IF($A25&lt;$D$5+$D$4,0,IF(AND($A25&gt;=$D$5,$A25&lt;=INT($D$8)-1+$D$4),LOOKUP($A25,Retraite!$A$7:$A$47,Retraite!$N$7:$N$47)/LOOKUP($A25,Barèmes!$A$65:$A$148,Barèmes!$G$65:$G$148),IF($A25=INT($D$8+$D$4),(LOOKUP($A25,Retraite!$A$7:$A$47,Retraite!$N$7:$N$47)/LOOKUP($A25,Barèmes!$A$65:$A$148,Barèmes!$G$65:$G$148))*(1-(INT($D$8)+1-$D$8)),0)))</f>
        <v>0</v>
      </c>
      <c r="F25" s="121">
        <f>IF($A25&lt;$D$5+$D$4,LOOKUP($A25,Cot_droits!$A$17:$A$68,Cot_droits!$Q$17:$Q$68)/LOOKUP($A25,Barèmes!$A$65:$A$148,Barèmes!$G$65:$G$148),0)</f>
        <v>4349.4309826858444</v>
      </c>
      <c r="G25" s="115"/>
      <c r="H25" s="131">
        <f>IF($A25&lt;$D$5+$D$4,0,IF(AND($A25&gt;=$D$5,$A25&lt;=INT($D$8)-1+$D$4),LOOKUP($A25,Retraite!$A$7:$A$47,Retraite!$L$7:$L$47)/LOOKUP($A25,Barèmes!$A$65:$A$148,Barèmes!$G$65:$G$148),IF($A25=INT($D$8+$D$4),(LOOKUP($A25,Retraite!$A$7:$A$47,Retraite!$L$7:$L$47)/LOOKUP($A25,Barèmes!$A$65:$A$148,Barèmes!$G$65:$G$148))*(1-(INT($D$8)+1-$D$8)),0)))</f>
        <v>0</v>
      </c>
      <c r="I25" s="151">
        <f>IF($A25&lt;$D$5+$D$4,0,IF(AND($A25&gt;=$D$5,$A25&lt;=INT($D$8)-1+$D$4),LOOKUP($A25,Retraite!$A$7:$A$47,Retraite!$P$7:$P$47)/LOOKUP($A25,Barèmes!$A$65:$A$148,Barèmes!$G$65:$G$148),IF($A25=INT($D$8+$D$4),(LOOKUP($A25,Retraite!$A$7:$A$47,Retraite!$P$7:$P$47)/LOOKUP($A25,Barèmes!$A$65:$A$148,Barèmes!$G$65:$G$148))*(1-(INT($D$8)+1-$D$8)),0)))</f>
        <v>0</v>
      </c>
      <c r="J25" s="121">
        <f>IF($A25&lt;$D$5+$D$4,(LOOKUP($A25,Cot_droits!$A$17:$A$68,Cot_droits!$H$17:$H$68)+LOOKUP($A25,Cot_droits!$A$17:$A$68,Cot_droits!$L$17:$L$68))/LOOKUP($A25,Barèmes!$A$65:$A$148,Barèmes!$G$65:$G$148),0)</f>
        <v>2786.747197500893</v>
      </c>
      <c r="L25" s="131">
        <f>IF($A25&lt;$D$5+$D$4,0,IF(AND($A25&gt;=$D$5,$A25&lt;=INT($D$8)-1+$D$4),LOOKUP($A25,Retraite!$A$7:$A$47,Retraite!$M$7:$M$47)/LOOKUP($A25,Barèmes!$A$65:$A$148,Barèmes!$G$65:$G$148),IF($A25=INT($D$8+$D$4),(LOOKUP($A25,Retraite!$A$7:$A$47,Retraite!$M$7:$M$47)/LOOKUP($A25,Barèmes!$A$65:$A$148,Barèmes!$G$65:$G$148))*(1-(INT($D$8)+1-$D$8)),0)))</f>
        <v>0</v>
      </c>
      <c r="M25" s="151">
        <f>IF($A25&lt;$D$5+$D$4,0,IF(AND($A25&gt;=$D$5,$A25&lt;=INT($D$8)-1+$D$4),LOOKUP($A25,Retraite!$A$7:$A$47,Retraite!$Q$7:$Q$47)/LOOKUP($A25,Barèmes!$A$65:$A$148,Barèmes!$G$65:$G$148),IF($A25=INT($D$8+$D$4),(LOOKUP($A25,Retraite!$A$7:$A$47,Retraite!$Q$7:$Q$47)/LOOKUP($A25,Barèmes!$A$65:$A$148,Barèmes!$G$65:$G$148))*(1-(INT($D$8)+1-$D$8)),0)))</f>
        <v>0</v>
      </c>
      <c r="N25" s="121">
        <f>IF($A25&lt;$D$5+$D$4,(LOOKUP($A25,Cot_droits!$A$17:$A$68,Cot_droits!$I$17:$I$68)+LOOKUP($A25,Cot_droits!$A$17:$A$68,Cot_droits!$J$17:$J$68)+LOOKUP($A25,Cot_droits!$A$17:$A$68,Cot_droits!$N$17:$N$68))/LOOKUP($A25,Barèmes!$A$65:$A$148,Barèmes!$G$65:$G$148),0)</f>
        <v>1562.6837851849514</v>
      </c>
      <c r="O25" s="115"/>
    </row>
    <row r="26" spans="1:15" s="43" customFormat="1" ht="15.75" customHeight="1" x14ac:dyDescent="0.25">
      <c r="A26" s="148">
        <f>TRI_prix!A20</f>
        <v>2025</v>
      </c>
      <c r="B26" s="121">
        <f>Cot_droits!C25/LOOKUP($A26,Barèmes!$A$65:$A$148,Barèmes!$G$65:$G$148)</f>
        <v>22509.555659226058</v>
      </c>
      <c r="C26" s="135"/>
      <c r="D26" s="131">
        <f>IF($A26&lt;$D$5+$D$4,0,IF(AND($A26&gt;=$D$5,$A26&lt;=INT($D$8)-1+$D$4),LOOKUP($A26,Retraite!$A$7:$A$47,Retraite!$K$7:$K$47)/LOOKUP($A26,Barèmes!$A$65:$A$148,Barèmes!$G$65:$G$148),IF($A26=INT($D$8+$D$4),(LOOKUP($A26,Retraite!$A$7:$A$47,Retraite!$K$7:$K$47)/LOOKUP($A26,Barèmes!$A$65:$A$148,Barèmes!$G$65:$G$148))*(1-(INT($D$8)+1-$D$8)),0)))</f>
        <v>0</v>
      </c>
      <c r="E26" s="151">
        <f>IF($A26&lt;$D$5+$D$4,0,IF(AND($A26&gt;=$D$5,$A26&lt;=INT($D$8)-1+$D$4),LOOKUP($A26,Retraite!$A$7:$A$47,Retraite!$N$7:$N$47)/LOOKUP($A26,Barèmes!$A$65:$A$148,Barèmes!$G$65:$G$148),IF($A26=INT($D$8+$D$4),(LOOKUP($A26,Retraite!$A$7:$A$47,Retraite!$N$7:$N$47)/LOOKUP($A26,Barèmes!$A$65:$A$148,Barèmes!$G$65:$G$148))*(1-(INT($D$8)+1-$D$8)),0)))</f>
        <v>0</v>
      </c>
      <c r="F26" s="121">
        <f>IF($A26&lt;$D$5+$D$4,LOOKUP($A26,Cot_droits!$A$17:$A$68,Cot_droits!$Q$17:$Q$68)/LOOKUP($A26,Barèmes!$A$65:$A$148,Barèmes!$G$65:$G$148),0)</f>
        <v>4990.4163584968746</v>
      </c>
      <c r="G26" s="115"/>
      <c r="H26" s="131">
        <f>IF($A26&lt;$D$5+$D$4,0,IF(AND($A26&gt;=$D$5,$A26&lt;=INT($D$8)-1+$D$4),LOOKUP($A26,Retraite!$A$7:$A$47,Retraite!$L$7:$L$47)/LOOKUP($A26,Barèmes!$A$65:$A$148,Barèmes!$G$65:$G$148),IF($A26=INT($D$8+$D$4),(LOOKUP($A26,Retraite!$A$7:$A$47,Retraite!$L$7:$L$47)/LOOKUP($A26,Barèmes!$A$65:$A$148,Barèmes!$G$65:$G$148))*(1-(INT($D$8)+1-$D$8)),0)))</f>
        <v>0</v>
      </c>
      <c r="I26" s="151">
        <f>IF($A26&lt;$D$5+$D$4,0,IF(AND($A26&gt;=$D$5,$A26&lt;=INT($D$8)-1+$D$4),LOOKUP($A26,Retraite!$A$7:$A$47,Retraite!$P$7:$P$47)/LOOKUP($A26,Barèmes!$A$65:$A$148,Barèmes!$G$65:$G$148),IF($A26=INT($D$8+$D$4),(LOOKUP($A26,Retraite!$A$7:$A$47,Retraite!$P$7:$P$47)/LOOKUP($A26,Barèmes!$A$65:$A$148,Barèmes!$G$65:$G$148))*(1-(INT($D$8)+1-$D$8)),0)))</f>
        <v>0</v>
      </c>
      <c r="J26" s="121">
        <f>IF($A26&lt;$D$5+$D$4,(LOOKUP($A26,Cot_droits!$A$17:$A$68,Cot_droits!$H$17:$H$68)+LOOKUP($A26,Cot_droits!$A$17:$A$68,Cot_droits!$L$17:$L$68))/LOOKUP($A26,Barèmes!$A$65:$A$148,Barèmes!$G$65:$G$148),0)</f>
        <v>3194.839928460709</v>
      </c>
      <c r="L26" s="131">
        <f>IF($A26&lt;$D$5+$D$4,0,IF(AND($A26&gt;=$D$5,$A26&lt;=INT($D$8)-1+$D$4),LOOKUP($A26,Retraite!$A$7:$A$47,Retraite!$M$7:$M$47)/LOOKUP($A26,Barèmes!$A$65:$A$148,Barèmes!$G$65:$G$148),IF($A26=INT($D$8+$D$4),(LOOKUP($A26,Retraite!$A$7:$A$47,Retraite!$M$7:$M$47)/LOOKUP($A26,Barèmes!$A$65:$A$148,Barèmes!$G$65:$G$148))*(1-(INT($D$8)+1-$D$8)),0)))</f>
        <v>0</v>
      </c>
      <c r="M26" s="151">
        <f>IF($A26&lt;$D$5+$D$4,0,IF(AND($A26&gt;=$D$5,$A26&lt;=INT($D$8)-1+$D$4),LOOKUP($A26,Retraite!$A$7:$A$47,Retraite!$Q$7:$Q$47)/LOOKUP($A26,Barèmes!$A$65:$A$148,Barèmes!$G$65:$G$148),IF($A26=INT($D$8+$D$4),(LOOKUP($A26,Retraite!$A$7:$A$47,Retraite!$Q$7:$Q$47)/LOOKUP($A26,Barèmes!$A$65:$A$148,Barèmes!$G$65:$G$148))*(1-(INT($D$8)+1-$D$8)),0)))</f>
        <v>0</v>
      </c>
      <c r="N26" s="121">
        <f>IF($A26&lt;$D$5+$D$4,(LOOKUP($A26,Cot_droits!$A$17:$A$68,Cot_droits!$I$17:$I$68)+LOOKUP($A26,Cot_droits!$A$17:$A$68,Cot_droits!$J$17:$J$68)+LOOKUP($A26,Cot_droits!$A$17:$A$68,Cot_droits!$N$17:$N$68))/LOOKUP($A26,Barèmes!$A$65:$A$148,Barèmes!$G$65:$G$148),0)</f>
        <v>1795.5764300361654</v>
      </c>
      <c r="O26" s="115"/>
    </row>
    <row r="27" spans="1:15" s="43" customFormat="1" ht="15.75" customHeight="1" x14ac:dyDescent="0.25">
      <c r="A27" s="148">
        <f>TRI_prix!A21</f>
        <v>2026</v>
      </c>
      <c r="B27" s="121">
        <f>Cot_droits!C26/LOOKUP($A27,Barèmes!$A$65:$A$148,Barèmes!$G$65:$G$148)</f>
        <v>23969.789642317319</v>
      </c>
      <c r="C27" s="135"/>
      <c r="D27" s="131">
        <f>IF($A27&lt;$D$5+$D$4,0,IF(AND($A27&gt;=$D$5,$A27&lt;=INT($D$8)-1+$D$4),LOOKUP($A27,Retraite!$A$7:$A$47,Retraite!$K$7:$K$47)/LOOKUP($A27,Barèmes!$A$65:$A$148,Barèmes!$G$65:$G$148),IF($A27=INT($D$8+$D$4),(LOOKUP($A27,Retraite!$A$7:$A$47,Retraite!$K$7:$K$47)/LOOKUP($A27,Barèmes!$A$65:$A$148,Barèmes!$G$65:$G$148))*(1-(INT($D$8)+1-$D$8)),0)))</f>
        <v>0</v>
      </c>
      <c r="E27" s="151">
        <f>IF($A27&lt;$D$5+$D$4,0,IF(AND($A27&gt;=$D$5,$A27&lt;=INT($D$8)-1+$D$4),LOOKUP($A27,Retraite!$A$7:$A$47,Retraite!$N$7:$N$47)/LOOKUP($A27,Barèmes!$A$65:$A$148,Barèmes!$G$65:$G$148),IF($A27=INT($D$8+$D$4),(LOOKUP($A27,Retraite!$A$7:$A$47,Retraite!$N$7:$N$47)/LOOKUP($A27,Barèmes!$A$65:$A$148,Barèmes!$G$65:$G$148))*(1-(INT($D$8)+1-$D$8)),0)))</f>
        <v>0</v>
      </c>
      <c r="F27" s="121">
        <f>IF($A27&lt;$D$5+$D$4,LOOKUP($A27,Cot_droits!$A$17:$A$68,Cot_droits!$Q$17:$Q$68)/LOOKUP($A27,Barèmes!$A$65:$A$148,Barèmes!$G$65:$G$148),0)</f>
        <v>5850.9798615345389</v>
      </c>
      <c r="G27" s="115"/>
      <c r="H27" s="131">
        <f>IF($A27&lt;$D$5+$D$4,0,IF(AND($A27&gt;=$D$5,$A27&lt;=INT($D$8)-1+$D$4),LOOKUP($A27,Retraite!$A$7:$A$47,Retraite!$L$7:$L$47)/LOOKUP($A27,Barèmes!$A$65:$A$148,Barèmes!$G$65:$G$148),IF($A27=INT($D$8+$D$4),(LOOKUP($A27,Retraite!$A$7:$A$47,Retraite!$L$7:$L$47)/LOOKUP($A27,Barèmes!$A$65:$A$148,Barèmes!$G$65:$G$148))*(1-(INT($D$8)+1-$D$8)),0)))</f>
        <v>0</v>
      </c>
      <c r="I27" s="151">
        <f>IF($A27&lt;$D$5+$D$4,0,IF(AND($A27&gt;=$D$5,$A27&lt;=INT($D$8)-1+$D$4),LOOKUP($A27,Retraite!$A$7:$A$47,Retraite!$P$7:$P$47)/LOOKUP($A27,Barèmes!$A$65:$A$148,Barèmes!$G$65:$G$148),IF($A27=INT($D$8+$D$4),(LOOKUP($A27,Retraite!$A$7:$A$47,Retraite!$P$7:$P$47)/LOOKUP($A27,Barèmes!$A$65:$A$148,Barèmes!$G$65:$G$148))*(1-(INT($D$8)+1-$D$8)),0)))</f>
        <v>0</v>
      </c>
      <c r="J27" s="121">
        <f>IF($A27&lt;$D$5+$D$4,(LOOKUP($A27,Cot_droits!$A$17:$A$68,Cot_droits!$H$17:$H$68)+LOOKUP($A27,Cot_droits!$A$17:$A$68,Cot_droits!$L$17:$L$68))/LOOKUP($A27,Barèmes!$A$65:$A$148,Barèmes!$G$65:$G$148),0)</f>
        <v>3742.8200174792346</v>
      </c>
      <c r="L27" s="131">
        <f>IF($A27&lt;$D$5+$D$4,0,IF(AND($A27&gt;=$D$5,$A27&lt;=INT($D$8)-1+$D$4),LOOKUP($A27,Retraite!$A$7:$A$47,Retraite!$M$7:$M$47)/LOOKUP($A27,Barèmes!$A$65:$A$148,Barèmes!$G$65:$G$148),IF($A27=INT($D$8+$D$4),(LOOKUP($A27,Retraite!$A$7:$A$47,Retraite!$M$7:$M$47)/LOOKUP($A27,Barèmes!$A$65:$A$148,Barèmes!$G$65:$G$148))*(1-(INT($D$8)+1-$D$8)),0)))</f>
        <v>0</v>
      </c>
      <c r="M27" s="151">
        <f>IF($A27&lt;$D$5+$D$4,0,IF(AND($A27&gt;=$D$5,$A27&lt;=INT($D$8)-1+$D$4),LOOKUP($A27,Retraite!$A$7:$A$47,Retraite!$Q$7:$Q$47)/LOOKUP($A27,Barèmes!$A$65:$A$148,Barèmes!$G$65:$G$148),IF($A27=INT($D$8+$D$4),(LOOKUP($A27,Retraite!$A$7:$A$47,Retraite!$Q$7:$Q$47)/LOOKUP($A27,Barèmes!$A$65:$A$148,Barèmes!$G$65:$G$148))*(1-(INT($D$8)+1-$D$8)),0)))</f>
        <v>0</v>
      </c>
      <c r="N27" s="121">
        <f>IF($A27&lt;$D$5+$D$4,(LOOKUP($A27,Cot_droits!$A$17:$A$68,Cot_droits!$I$17:$I$68)+LOOKUP($A27,Cot_droits!$A$17:$A$68,Cot_droits!$J$17:$J$68)+LOOKUP($A27,Cot_droits!$A$17:$A$68,Cot_droits!$N$17:$N$68))/LOOKUP($A27,Barèmes!$A$65:$A$148,Barèmes!$G$65:$G$148),0)</f>
        <v>2108.1598440553043</v>
      </c>
      <c r="O27" s="115"/>
    </row>
    <row r="28" spans="1:15" s="43" customFormat="1" ht="15.75" customHeight="1" x14ac:dyDescent="0.25">
      <c r="A28" s="148">
        <f>TRI_prix!A22</f>
        <v>2027</v>
      </c>
      <c r="B28" s="121">
        <f>Cot_droits!C27/LOOKUP($A28,Barèmes!$A$65:$A$148,Barèmes!$G$65:$G$148)</f>
        <v>24974.767242574766</v>
      </c>
      <c r="C28" s="135"/>
      <c r="D28" s="131">
        <f>IF($A28&lt;$D$5+$D$4,0,IF(AND($A28&gt;=$D$5,$A28&lt;=INT($D$8)-1+$D$4),LOOKUP($A28,Retraite!$A$7:$A$47,Retraite!$K$7:$K$47)/LOOKUP($A28,Barèmes!$A$65:$A$148,Barèmes!$G$65:$G$148),IF($A28=INT($D$8+$D$4),(LOOKUP($A28,Retraite!$A$7:$A$47,Retraite!$K$7:$K$47)/LOOKUP($A28,Barèmes!$A$65:$A$148,Barèmes!$G$65:$G$148))*(1-(INT($D$8)+1-$D$8)),0)))</f>
        <v>0</v>
      </c>
      <c r="E28" s="151">
        <f>IF($A28&lt;$D$5+$D$4,0,IF(AND($A28&gt;=$D$5,$A28&lt;=INT($D$8)-1+$D$4),LOOKUP($A28,Retraite!$A$7:$A$47,Retraite!$N$7:$N$47)/LOOKUP($A28,Barèmes!$A$65:$A$148,Barèmes!$G$65:$G$148),IF($A28=INT($D$8+$D$4),(LOOKUP($A28,Retraite!$A$7:$A$47,Retraite!$N$7:$N$47)/LOOKUP($A28,Barèmes!$A$65:$A$148,Barèmes!$G$65:$G$148))*(1-(INT($D$8)+1-$D$8)),0)))</f>
        <v>0</v>
      </c>
      <c r="F28" s="121">
        <f>IF($A28&lt;$D$5+$D$4,LOOKUP($A28,Cot_droits!$A$17:$A$68,Cot_droits!$Q$17:$Q$68)/LOOKUP($A28,Barèmes!$A$65:$A$148,Barèmes!$G$65:$G$148),0)</f>
        <v>6451.3524417228127</v>
      </c>
      <c r="G28" s="115"/>
      <c r="H28" s="131">
        <f>IF($A28&lt;$D$5+$D$4,0,IF(AND($A28&gt;=$D$5,$A28&lt;=INT($D$8)-1+$D$4),LOOKUP($A28,Retraite!$A$7:$A$47,Retraite!$L$7:$L$47)/LOOKUP($A28,Barèmes!$A$65:$A$148,Barèmes!$G$65:$G$148),IF($A28=INT($D$8+$D$4),(LOOKUP($A28,Retraite!$A$7:$A$47,Retraite!$L$7:$L$47)/LOOKUP($A28,Barèmes!$A$65:$A$148,Barèmes!$G$65:$G$148))*(1-(INT($D$8)+1-$D$8)),0)))</f>
        <v>0</v>
      </c>
      <c r="I28" s="151">
        <f>IF($A28&lt;$D$5+$D$4,0,IF(AND($A28&gt;=$D$5,$A28&lt;=INT($D$8)-1+$D$4),LOOKUP($A28,Retraite!$A$7:$A$47,Retraite!$P$7:$P$47)/LOOKUP($A28,Barèmes!$A$65:$A$148,Barèmes!$G$65:$G$148),IF($A28=INT($D$8+$D$4),(LOOKUP($A28,Retraite!$A$7:$A$47,Retraite!$P$7:$P$47)/LOOKUP($A28,Barèmes!$A$65:$A$148,Barèmes!$G$65:$G$148))*(1-(INT($D$8)+1-$D$8)),0)))</f>
        <v>0</v>
      </c>
      <c r="J28" s="121">
        <f>IF($A28&lt;$D$5+$D$4,(LOOKUP($A28,Cot_droits!$A$17:$A$68,Cot_droits!$H$17:$H$68)+LOOKUP($A28,Cot_droits!$A$17:$A$68,Cot_droits!$L$17:$L$68))/LOOKUP($A28,Barèmes!$A$65:$A$148,Barèmes!$G$65:$G$148),0)</f>
        <v>4125.1018652172288</v>
      </c>
      <c r="L28" s="131">
        <f>IF($A28&lt;$D$5+$D$4,0,IF(AND($A28&gt;=$D$5,$A28&lt;=INT($D$8)-1+$D$4),LOOKUP($A28,Retraite!$A$7:$A$47,Retraite!$M$7:$M$47)/LOOKUP($A28,Barèmes!$A$65:$A$148,Barèmes!$G$65:$G$148),IF($A28=INT($D$8+$D$4),(LOOKUP($A28,Retraite!$A$7:$A$47,Retraite!$M$7:$M$47)/LOOKUP($A28,Barèmes!$A$65:$A$148,Barèmes!$G$65:$G$148))*(1-(INT($D$8)+1-$D$8)),0)))</f>
        <v>0</v>
      </c>
      <c r="M28" s="151">
        <f>IF($A28&lt;$D$5+$D$4,0,IF(AND($A28&gt;=$D$5,$A28&lt;=INT($D$8)-1+$D$4),LOOKUP($A28,Retraite!$A$7:$A$47,Retraite!$Q$7:$Q$47)/LOOKUP($A28,Barèmes!$A$65:$A$148,Barèmes!$G$65:$G$148),IF($A28=INT($D$8+$D$4),(LOOKUP($A28,Retraite!$A$7:$A$47,Retraite!$Q$7:$Q$47)/LOOKUP($A28,Barèmes!$A$65:$A$148,Barèmes!$G$65:$G$148))*(1-(INT($D$8)+1-$D$8)),0)))</f>
        <v>0</v>
      </c>
      <c r="N28" s="121">
        <f>IF($A28&lt;$D$5+$D$4,(LOOKUP($A28,Cot_droits!$A$17:$A$68,Cot_droits!$I$17:$I$68)+LOOKUP($A28,Cot_droits!$A$17:$A$68,Cot_droits!$J$17:$J$68)+LOOKUP($A28,Cot_droits!$A$17:$A$68,Cot_droits!$N$17:$N$68))/LOOKUP($A28,Barèmes!$A$65:$A$148,Barèmes!$G$65:$G$148),0)</f>
        <v>2326.2505765055848</v>
      </c>
      <c r="O28" s="115"/>
    </row>
    <row r="29" spans="1:15" s="43" customFormat="1" ht="15.75" customHeight="1" x14ac:dyDescent="0.25">
      <c r="A29" s="148">
        <f>TRI_prix!A23</f>
        <v>2028</v>
      </c>
      <c r="B29" s="121">
        <f>Cot_droits!C28/LOOKUP($A29,Barèmes!$A$65:$A$148,Barèmes!$G$65:$G$148)</f>
        <v>25781.737075757144</v>
      </c>
      <c r="C29" s="135"/>
      <c r="D29" s="131">
        <f>IF($A29&lt;$D$5+$D$4,0,IF(AND($A29&gt;=$D$5,$A29&lt;=INT($D$8)-1+$D$4),LOOKUP($A29,Retraite!$A$7:$A$47,Retraite!$K$7:$K$47)/LOOKUP($A29,Barèmes!$A$65:$A$148,Barèmes!$G$65:$G$148),IF($A29=INT($D$8+$D$4),(LOOKUP($A29,Retraite!$A$7:$A$47,Retraite!$K$7:$K$47)/LOOKUP($A29,Barèmes!$A$65:$A$148,Barèmes!$G$65:$G$148))*(1-(INT($D$8)+1-$D$8)),0)))</f>
        <v>0</v>
      </c>
      <c r="E29" s="151">
        <f>IF($A29&lt;$D$5+$D$4,0,IF(AND($A29&gt;=$D$5,$A29&lt;=INT($D$8)-1+$D$4),LOOKUP($A29,Retraite!$A$7:$A$47,Retraite!$N$7:$N$47)/LOOKUP($A29,Barèmes!$A$65:$A$148,Barèmes!$G$65:$G$148),IF($A29=INT($D$8+$D$4),(LOOKUP($A29,Retraite!$A$7:$A$47,Retraite!$N$7:$N$47)/LOOKUP($A29,Barèmes!$A$65:$A$148,Barèmes!$G$65:$G$148))*(1-(INT($D$8)+1-$D$8)),0)))</f>
        <v>0</v>
      </c>
      <c r="F29" s="121">
        <f>IF($A29&lt;$D$5+$D$4,LOOKUP($A29,Cot_droits!$A$17:$A$68,Cot_droits!$Q$17:$Q$68)/LOOKUP($A29,Barèmes!$A$65:$A$148,Barèmes!$G$65:$G$148),0)</f>
        <v>6931.5718426564354</v>
      </c>
      <c r="G29" s="115"/>
      <c r="H29" s="131">
        <f>IF($A29&lt;$D$5+$D$4,0,IF(AND($A29&gt;=$D$5,$A29&lt;=INT($D$8)-1+$D$4),LOOKUP($A29,Retraite!$A$7:$A$47,Retraite!$L$7:$L$47)/LOOKUP($A29,Barèmes!$A$65:$A$148,Barèmes!$G$65:$G$148),IF($A29=INT($D$8+$D$4),(LOOKUP($A29,Retraite!$A$7:$A$47,Retraite!$L$7:$L$47)/LOOKUP($A29,Barèmes!$A$65:$A$148,Barèmes!$G$65:$G$148))*(1-(INT($D$8)+1-$D$8)),0)))</f>
        <v>0</v>
      </c>
      <c r="I29" s="151">
        <f>IF($A29&lt;$D$5+$D$4,0,IF(AND($A29&gt;=$D$5,$A29&lt;=INT($D$8)-1+$D$4),LOOKUP($A29,Retraite!$A$7:$A$47,Retraite!$P$7:$P$47)/LOOKUP($A29,Barèmes!$A$65:$A$148,Barèmes!$G$65:$G$148),IF($A29=INT($D$8+$D$4),(LOOKUP($A29,Retraite!$A$7:$A$47,Retraite!$P$7:$P$47)/LOOKUP($A29,Barèmes!$A$65:$A$148,Barèmes!$G$65:$G$148))*(1-(INT($D$8)+1-$D$8)),0)))</f>
        <v>0</v>
      </c>
      <c r="J29" s="121">
        <f>IF($A29&lt;$D$5+$D$4,(LOOKUP($A29,Cot_droits!$A$17:$A$68,Cot_droits!$H$17:$H$68)+LOOKUP($A29,Cot_droits!$A$17:$A$68,Cot_droits!$L$17:$L$68))/LOOKUP($A29,Barèmes!$A$65:$A$148,Barèmes!$G$65:$G$148),0)</f>
        <v>4430.8810537070603</v>
      </c>
      <c r="L29" s="131">
        <f>IF($A29&lt;$D$5+$D$4,0,IF(AND($A29&gt;=$D$5,$A29&lt;=INT($D$8)-1+$D$4),LOOKUP($A29,Retraite!$A$7:$A$47,Retraite!$M$7:$M$47)/LOOKUP($A29,Barèmes!$A$65:$A$148,Barèmes!$G$65:$G$148),IF($A29=INT($D$8+$D$4),(LOOKUP($A29,Retraite!$A$7:$A$47,Retraite!$M$7:$M$47)/LOOKUP($A29,Barèmes!$A$65:$A$148,Barèmes!$G$65:$G$148))*(1-(INT($D$8)+1-$D$8)),0)))</f>
        <v>0</v>
      </c>
      <c r="M29" s="151">
        <f>IF($A29&lt;$D$5+$D$4,0,IF(AND($A29&gt;=$D$5,$A29&lt;=INT($D$8)-1+$D$4),LOOKUP($A29,Retraite!$A$7:$A$47,Retraite!$Q$7:$Q$47)/LOOKUP($A29,Barèmes!$A$65:$A$148,Barèmes!$G$65:$G$148),IF($A29=INT($D$8+$D$4),(LOOKUP($A29,Retraite!$A$7:$A$47,Retraite!$Q$7:$Q$47)/LOOKUP($A29,Barèmes!$A$65:$A$148,Barèmes!$G$65:$G$148))*(1-(INT($D$8)+1-$D$8)),0)))</f>
        <v>0</v>
      </c>
      <c r="N29" s="121">
        <f>IF($A29&lt;$D$5+$D$4,(LOOKUP($A29,Cot_droits!$A$17:$A$68,Cot_droits!$I$17:$I$68)+LOOKUP($A29,Cot_droits!$A$17:$A$68,Cot_droits!$J$17:$J$68)+LOOKUP($A29,Cot_droits!$A$17:$A$68,Cot_droits!$N$17:$N$68))/LOOKUP($A29,Barèmes!$A$65:$A$148,Barèmes!$G$65:$G$148),0)</f>
        <v>2500.6907889493746</v>
      </c>
      <c r="O29" s="115"/>
    </row>
    <row r="30" spans="1:15" s="43" customFormat="1" ht="15.75" customHeight="1" x14ac:dyDescent="0.25">
      <c r="A30" s="148">
        <f>TRI_prix!A24</f>
        <v>2029</v>
      </c>
      <c r="B30" s="121">
        <f>Cot_droits!C29/LOOKUP($A30,Barèmes!$A$65:$A$148,Barèmes!$G$65:$G$148)</f>
        <v>26790.196163296754</v>
      </c>
      <c r="C30" s="135"/>
      <c r="D30" s="131">
        <f>IF($A30&lt;$D$5+$D$4,0,IF(AND($A30&gt;=$D$5,$A30&lt;=INT($D$8)-1+$D$4),LOOKUP($A30,Retraite!$A$7:$A$47,Retraite!$K$7:$K$47)/LOOKUP($A30,Barèmes!$A$65:$A$148,Barèmes!$G$65:$G$148),IF($A30=INT($D$8+$D$4),(LOOKUP($A30,Retraite!$A$7:$A$47,Retraite!$K$7:$K$47)/LOOKUP($A30,Barèmes!$A$65:$A$148,Barèmes!$G$65:$G$148))*(1-(INT($D$8)+1-$D$8)),0)))</f>
        <v>0</v>
      </c>
      <c r="E30" s="151">
        <f>IF($A30&lt;$D$5+$D$4,0,IF(AND($A30&gt;=$D$5,$A30&lt;=INT($D$8)-1+$D$4),LOOKUP($A30,Retraite!$A$7:$A$47,Retraite!$N$7:$N$47)/LOOKUP($A30,Barèmes!$A$65:$A$148,Barèmes!$G$65:$G$148),IF($A30=INT($D$8+$D$4),(LOOKUP($A30,Retraite!$A$7:$A$47,Retraite!$N$7:$N$47)/LOOKUP($A30,Barèmes!$A$65:$A$148,Barèmes!$G$65:$G$148))*(1-(INT($D$8)+1-$D$8)),0)))</f>
        <v>0</v>
      </c>
      <c r="F30" s="121">
        <f>IF($A30&lt;$D$5+$D$4,LOOKUP($A30,Cot_droits!$A$17:$A$68,Cot_droits!$Q$17:$Q$68)/LOOKUP($A30,Barèmes!$A$65:$A$148,Barèmes!$G$65:$G$148),0)</f>
        <v>7440.7090823940398</v>
      </c>
      <c r="G30" s="115"/>
      <c r="H30" s="131">
        <f>IF($A30&lt;$D$5+$D$4,0,IF(AND($A30&gt;=$D$5,$A30&lt;=INT($D$8)-1+$D$4),LOOKUP($A30,Retraite!$A$7:$A$47,Retraite!$L$7:$L$47)/LOOKUP($A30,Barèmes!$A$65:$A$148,Barèmes!$G$65:$G$148),IF($A30=INT($D$8+$D$4),(LOOKUP($A30,Retraite!$A$7:$A$47,Retraite!$L$7:$L$47)/LOOKUP($A30,Barèmes!$A$65:$A$148,Barèmes!$G$65:$G$148))*(1-(INT($D$8)+1-$D$8)),0)))</f>
        <v>0</v>
      </c>
      <c r="I30" s="151">
        <f>IF($A30&lt;$D$5+$D$4,0,IF(AND($A30&gt;=$D$5,$A30&lt;=INT($D$8)-1+$D$4),LOOKUP($A30,Retraite!$A$7:$A$47,Retraite!$P$7:$P$47)/LOOKUP($A30,Barèmes!$A$65:$A$148,Barèmes!$G$65:$G$148),IF($A30=INT($D$8+$D$4),(LOOKUP($A30,Retraite!$A$7:$A$47,Retraite!$P$7:$P$47)/LOOKUP($A30,Barèmes!$A$65:$A$148,Barèmes!$G$65:$G$148))*(1-(INT($D$8)+1-$D$8)),0)))</f>
        <v>0</v>
      </c>
      <c r="J30" s="121">
        <f>IF($A30&lt;$D$5+$D$4,(LOOKUP($A30,Cot_droits!$A$17:$A$68,Cot_droits!$H$17:$H$68)+LOOKUP($A30,Cot_droits!$A$17:$A$68,Cot_droits!$L$17:$L$68))/LOOKUP($A30,Barèmes!$A$65:$A$148,Barèmes!$G$65:$G$148),0)</f>
        <v>4755.2598189851742</v>
      </c>
      <c r="L30" s="131">
        <f>IF($A30&lt;$D$5+$D$4,0,IF(AND($A30&gt;=$D$5,$A30&lt;=INT($D$8)-1+$D$4),LOOKUP($A30,Retraite!$A$7:$A$47,Retraite!$M$7:$M$47)/LOOKUP($A30,Barèmes!$A$65:$A$148,Barèmes!$G$65:$G$148),IF($A30=INT($D$8+$D$4),(LOOKUP($A30,Retraite!$A$7:$A$47,Retraite!$M$7:$M$47)/LOOKUP($A30,Barèmes!$A$65:$A$148,Barèmes!$G$65:$G$148))*(1-(INT($D$8)+1-$D$8)),0)))</f>
        <v>0</v>
      </c>
      <c r="M30" s="151">
        <f>IF($A30&lt;$D$5+$D$4,0,IF(AND($A30&gt;=$D$5,$A30&lt;=INT($D$8)-1+$D$4),LOOKUP($A30,Retraite!$A$7:$A$47,Retraite!$Q$7:$Q$47)/LOOKUP($A30,Barèmes!$A$65:$A$148,Barèmes!$G$65:$G$148),IF($A30=INT($D$8+$D$4),(LOOKUP($A30,Retraite!$A$7:$A$47,Retraite!$Q$7:$Q$47)/LOOKUP($A30,Barèmes!$A$65:$A$148,Barèmes!$G$65:$G$148))*(1-(INT($D$8)+1-$D$8)),0)))</f>
        <v>0</v>
      </c>
      <c r="N30" s="121">
        <f>IF($A30&lt;$D$5+$D$4,(LOOKUP($A30,Cot_droits!$A$17:$A$68,Cot_droits!$I$17:$I$68)+LOOKUP($A30,Cot_droits!$A$17:$A$68,Cot_droits!$J$17:$J$68)+LOOKUP($A30,Cot_droits!$A$17:$A$68,Cot_droits!$N$17:$N$68))/LOOKUP($A30,Barèmes!$A$65:$A$148,Barèmes!$G$65:$G$148),0)</f>
        <v>2685.4492634088665</v>
      </c>
      <c r="O30" s="115"/>
    </row>
    <row r="31" spans="1:15" s="43" customFormat="1" ht="15.75" customHeight="1" x14ac:dyDescent="0.25">
      <c r="A31" s="148">
        <f>TRI_prix!A25</f>
        <v>2030</v>
      </c>
      <c r="B31" s="121">
        <f>Cot_droits!C30/LOOKUP($A31,Barèmes!$A$65:$A$148,Barèmes!$G$65:$G$148)</f>
        <v>27570.964417102179</v>
      </c>
      <c r="C31" s="135"/>
      <c r="D31" s="131">
        <f>IF($A31&lt;$D$5+$D$4,0,IF(AND($A31&gt;=$D$5,$A31&lt;=INT($D$8)-1+$D$4),LOOKUP($A31,Retraite!$A$7:$A$47,Retraite!$K$7:$K$47)/LOOKUP($A31,Barèmes!$A$65:$A$148,Barèmes!$G$65:$G$148),IF($A31=INT($D$8+$D$4),(LOOKUP($A31,Retraite!$A$7:$A$47,Retraite!$K$7:$K$47)/LOOKUP($A31,Barèmes!$A$65:$A$148,Barèmes!$G$65:$G$148))*(1-(INT($D$8)+1-$D$8)),0)))</f>
        <v>0</v>
      </c>
      <c r="E31" s="151">
        <f>IF($A31&lt;$D$5+$D$4,0,IF(AND($A31&gt;=$D$5,$A31&lt;=INT($D$8)-1+$D$4),LOOKUP($A31,Retraite!$A$7:$A$47,Retraite!$N$7:$N$47)/LOOKUP($A31,Barèmes!$A$65:$A$148,Barèmes!$G$65:$G$148),IF($A31=INT($D$8+$D$4),(LOOKUP($A31,Retraite!$A$7:$A$47,Retraite!$N$7:$N$47)/LOOKUP($A31,Barèmes!$A$65:$A$148,Barèmes!$G$65:$G$148))*(1-(INT($D$8)+1-$D$8)),0)))</f>
        <v>0</v>
      </c>
      <c r="F31" s="121">
        <f>IF($A31&lt;$D$5+$D$4,LOOKUP($A31,Cot_droits!$A$17:$A$68,Cot_droits!$Q$17:$Q$68)/LOOKUP($A31,Barèmes!$A$65:$A$148,Barèmes!$G$65:$G$148),0)</f>
        <v>7657.5596572059603</v>
      </c>
      <c r="G31" s="115"/>
      <c r="H31" s="131">
        <f>IF($A31&lt;$D$5+$D$4,0,IF(AND($A31&gt;=$D$5,$A31&lt;=INT($D$8)-1+$D$4),LOOKUP($A31,Retraite!$A$7:$A$47,Retraite!$L$7:$L$47)/LOOKUP($A31,Barèmes!$A$65:$A$148,Barèmes!$G$65:$G$148),IF($A31=INT($D$8+$D$4),(LOOKUP($A31,Retraite!$A$7:$A$47,Retraite!$L$7:$L$47)/LOOKUP($A31,Barèmes!$A$65:$A$148,Barèmes!$G$65:$G$148))*(1-(INT($D$8)+1-$D$8)),0)))</f>
        <v>0</v>
      </c>
      <c r="I31" s="151">
        <f>IF($A31&lt;$D$5+$D$4,0,IF(AND($A31&gt;=$D$5,$A31&lt;=INT($D$8)-1+$D$4),LOOKUP($A31,Retraite!$A$7:$A$47,Retraite!$P$7:$P$47)/LOOKUP($A31,Barèmes!$A$65:$A$148,Barèmes!$G$65:$G$148),IF($A31=INT($D$8+$D$4),(LOOKUP($A31,Retraite!$A$7:$A$47,Retraite!$P$7:$P$47)/LOOKUP($A31,Barèmes!$A$65:$A$148,Barèmes!$G$65:$G$148))*(1-(INT($D$8)+1-$D$8)),0)))</f>
        <v>0</v>
      </c>
      <c r="J31" s="121">
        <f>IF($A31&lt;$D$5+$D$4,(LOOKUP($A31,Cot_droits!$A$17:$A$68,Cot_droits!$H$17:$H$68)+LOOKUP($A31,Cot_droits!$A$17:$A$68,Cot_droits!$L$17:$L$68))/LOOKUP($A31,Barèmes!$A$65:$A$148,Barèmes!$G$65:$G$148),0)</f>
        <v>4893.8461840356367</v>
      </c>
      <c r="L31" s="131">
        <f>IF($A31&lt;$D$5+$D$4,0,IF(AND($A31&gt;=$D$5,$A31&lt;=INT($D$8)-1+$D$4),LOOKUP($A31,Retraite!$A$7:$A$47,Retraite!$M$7:$M$47)/LOOKUP($A31,Barèmes!$A$65:$A$148,Barèmes!$G$65:$G$148),IF($A31=INT($D$8+$D$4),(LOOKUP($A31,Retraite!$A$7:$A$47,Retraite!$M$7:$M$47)/LOOKUP($A31,Barèmes!$A$65:$A$148,Barèmes!$G$65:$G$148))*(1-(INT($D$8)+1-$D$8)),0)))</f>
        <v>0</v>
      </c>
      <c r="M31" s="151">
        <f>IF($A31&lt;$D$5+$D$4,0,IF(AND($A31&gt;=$D$5,$A31&lt;=INT($D$8)-1+$D$4),LOOKUP($A31,Retraite!$A$7:$A$47,Retraite!$Q$7:$Q$47)/LOOKUP($A31,Barèmes!$A$65:$A$148,Barèmes!$G$65:$G$148),IF($A31=INT($D$8+$D$4),(LOOKUP($A31,Retraite!$A$7:$A$47,Retraite!$Q$7:$Q$47)/LOOKUP($A31,Barèmes!$A$65:$A$148,Barèmes!$G$65:$G$148))*(1-(INT($D$8)+1-$D$8)),0)))</f>
        <v>0</v>
      </c>
      <c r="N31" s="121">
        <f>IF($A31&lt;$D$5+$D$4,(LOOKUP($A31,Cot_droits!$A$17:$A$68,Cot_droits!$I$17:$I$68)+LOOKUP($A31,Cot_droits!$A$17:$A$68,Cot_droits!$J$17:$J$68)+LOOKUP($A31,Cot_droits!$A$17:$A$68,Cot_droits!$N$17:$N$68))/LOOKUP($A31,Barèmes!$A$65:$A$148,Barèmes!$G$65:$G$148),0)</f>
        <v>2763.7134731703227</v>
      </c>
      <c r="O31" s="115"/>
    </row>
    <row r="32" spans="1:15" s="43" customFormat="1" ht="15.75" customHeight="1" x14ac:dyDescent="0.25">
      <c r="A32" s="148">
        <f>TRI_prix!A26</f>
        <v>2031</v>
      </c>
      <c r="B32" s="121">
        <f>Cot_droits!C31/LOOKUP($A32,Barèmes!$A$65:$A$148,Barèmes!$G$65:$G$148)</f>
        <v>27997.144940295639</v>
      </c>
      <c r="C32" s="135"/>
      <c r="D32" s="131">
        <f>IF($A32&lt;$D$5+$D$4,0,IF(AND($A32&gt;=$D$5,$A32&lt;=INT($D$8)-1+$D$4),LOOKUP($A32,Retraite!$A$7:$A$47,Retraite!$K$7:$K$47)/LOOKUP($A32,Barèmes!$A$65:$A$148,Barèmes!$G$65:$G$148),IF($A32=INT($D$8+$D$4),(LOOKUP($A32,Retraite!$A$7:$A$47,Retraite!$K$7:$K$47)/LOOKUP($A32,Barèmes!$A$65:$A$148,Barèmes!$G$65:$G$148))*(1-(INT($D$8)+1-$D$8)),0)))</f>
        <v>0</v>
      </c>
      <c r="E32" s="151">
        <f>IF($A32&lt;$D$5+$D$4,0,IF(AND($A32&gt;=$D$5,$A32&lt;=INT($D$8)-1+$D$4),LOOKUP($A32,Retraite!$A$7:$A$47,Retraite!$N$7:$N$47)/LOOKUP($A32,Barèmes!$A$65:$A$148,Barèmes!$G$65:$G$148),IF($A32=INT($D$8+$D$4),(LOOKUP($A32,Retraite!$A$7:$A$47,Retraite!$N$7:$N$47)/LOOKUP($A32,Barèmes!$A$65:$A$148,Barèmes!$G$65:$G$148))*(1-(INT($D$8)+1-$D$8)),0)))</f>
        <v>0</v>
      </c>
      <c r="F32" s="121">
        <f>IF($A32&lt;$D$5+$D$4,LOOKUP($A32,Cot_droits!$A$17:$A$68,Cot_droits!$Q$17:$Q$68)/LOOKUP($A32,Barèmes!$A$65:$A$148,Barèmes!$G$65:$G$148),0)</f>
        <v>7775.9270357177102</v>
      </c>
      <c r="G32" s="115"/>
      <c r="H32" s="131">
        <f>IF($A32&lt;$D$5+$D$4,0,IF(AND($A32&gt;=$D$5,$A32&lt;=INT($D$8)-1+$D$4),LOOKUP($A32,Retraite!$A$7:$A$47,Retraite!$L$7:$L$47)/LOOKUP($A32,Barèmes!$A$65:$A$148,Barèmes!$G$65:$G$148),IF($A32=INT($D$8+$D$4),(LOOKUP($A32,Retraite!$A$7:$A$47,Retraite!$L$7:$L$47)/LOOKUP($A32,Barèmes!$A$65:$A$148,Barèmes!$G$65:$G$148))*(1-(INT($D$8)+1-$D$8)),0)))</f>
        <v>0</v>
      </c>
      <c r="I32" s="151">
        <f>IF($A32&lt;$D$5+$D$4,0,IF(AND($A32&gt;=$D$5,$A32&lt;=INT($D$8)-1+$D$4),LOOKUP($A32,Retraite!$A$7:$A$47,Retraite!$P$7:$P$47)/LOOKUP($A32,Barèmes!$A$65:$A$148,Barèmes!$G$65:$G$148),IF($A32=INT($D$8+$D$4),(LOOKUP($A32,Retraite!$A$7:$A$47,Retraite!$P$7:$P$47)/LOOKUP($A32,Barèmes!$A$65:$A$148,Barèmes!$G$65:$G$148))*(1-(INT($D$8)+1-$D$8)),0)))</f>
        <v>0</v>
      </c>
      <c r="J32" s="121">
        <f>IF($A32&lt;$D$5+$D$4,(LOOKUP($A32,Cot_droits!$A$17:$A$68,Cot_droits!$H$17:$H$68)+LOOKUP($A32,Cot_droits!$A$17:$A$68,Cot_droits!$L$17:$L$68))/LOOKUP($A32,Barèmes!$A$65:$A$148,Barèmes!$G$65:$G$148),0)</f>
        <v>4969.4932269024757</v>
      </c>
      <c r="L32" s="131">
        <f>IF($A32&lt;$D$5+$D$4,0,IF(AND($A32&gt;=$D$5,$A32&lt;=INT($D$8)-1+$D$4),LOOKUP($A32,Retraite!$A$7:$A$47,Retraite!$M$7:$M$47)/LOOKUP($A32,Barèmes!$A$65:$A$148,Barèmes!$G$65:$G$148),IF($A32=INT($D$8+$D$4),(LOOKUP($A32,Retraite!$A$7:$A$47,Retraite!$M$7:$M$47)/LOOKUP($A32,Barèmes!$A$65:$A$148,Barèmes!$G$65:$G$148))*(1-(INT($D$8)+1-$D$8)),0)))</f>
        <v>0</v>
      </c>
      <c r="M32" s="151">
        <f>IF($A32&lt;$D$5+$D$4,0,IF(AND($A32&gt;=$D$5,$A32&lt;=INT($D$8)-1+$D$4),LOOKUP($A32,Retraite!$A$7:$A$47,Retraite!$Q$7:$Q$47)/LOOKUP($A32,Barèmes!$A$65:$A$148,Barèmes!$G$65:$G$148),IF($A32=INT($D$8+$D$4),(LOOKUP($A32,Retraite!$A$7:$A$47,Retraite!$Q$7:$Q$47)/LOOKUP($A32,Barèmes!$A$65:$A$148,Barèmes!$G$65:$G$148))*(1-(INT($D$8)+1-$D$8)),0)))</f>
        <v>0</v>
      </c>
      <c r="N32" s="121">
        <f>IF($A32&lt;$D$5+$D$4,(LOOKUP($A32,Cot_droits!$A$17:$A$68,Cot_droits!$I$17:$I$68)+LOOKUP($A32,Cot_droits!$A$17:$A$68,Cot_droits!$J$17:$J$68)+LOOKUP($A32,Cot_droits!$A$17:$A$68,Cot_droits!$N$17:$N$68))/LOOKUP($A32,Barèmes!$A$65:$A$148,Barèmes!$G$65:$G$148),0)</f>
        <v>2806.4338088152349</v>
      </c>
      <c r="O32" s="115"/>
    </row>
    <row r="33" spans="1:15" s="43" customFormat="1" ht="15.75" customHeight="1" x14ac:dyDescent="0.25">
      <c r="A33" s="148">
        <f>TRI_prix!A27</f>
        <v>2032</v>
      </c>
      <c r="B33" s="121">
        <f>Cot_droits!C32/LOOKUP($A33,Barèmes!$A$65:$A$148,Barèmes!$G$65:$G$148)</f>
        <v>28745.177301811247</v>
      </c>
      <c r="C33" s="135"/>
      <c r="D33" s="131">
        <f>IF($A33&lt;$D$5+$D$4,0,IF(AND($A33&gt;=$D$5,$A33&lt;=INT($D$8)-1+$D$4),LOOKUP($A33,Retraite!$A$7:$A$47,Retraite!$K$7:$K$47)/LOOKUP($A33,Barèmes!$A$65:$A$148,Barèmes!$G$65:$G$148),IF($A33=INT($D$8+$D$4),(LOOKUP($A33,Retraite!$A$7:$A$47,Retraite!$K$7:$K$47)/LOOKUP($A33,Barèmes!$A$65:$A$148,Barèmes!$G$65:$G$148))*(1-(INT($D$8)+1-$D$8)),0)))</f>
        <v>0</v>
      </c>
      <c r="E33" s="151">
        <f>IF($A33&lt;$D$5+$D$4,0,IF(AND($A33&gt;=$D$5,$A33&lt;=INT($D$8)-1+$D$4),LOOKUP($A33,Retraite!$A$7:$A$47,Retraite!$N$7:$N$47)/LOOKUP($A33,Barèmes!$A$65:$A$148,Barèmes!$G$65:$G$148),IF($A33=INT($D$8+$D$4),(LOOKUP($A33,Retraite!$A$7:$A$47,Retraite!$N$7:$N$47)/LOOKUP($A33,Barèmes!$A$65:$A$148,Barèmes!$G$65:$G$148))*(1-(INT($D$8)+1-$D$8)),0)))</f>
        <v>0</v>
      </c>
      <c r="F33" s="121">
        <f>IF($A33&lt;$D$5+$D$4,LOOKUP($A33,Cot_droits!$A$17:$A$68,Cot_droits!$Q$17:$Q$68)/LOOKUP($A33,Barèmes!$A$65:$A$148,Barèmes!$G$65:$G$148),0)</f>
        <v>7983.6855438050543</v>
      </c>
      <c r="G33" s="115"/>
      <c r="H33" s="131">
        <f>IF($A33&lt;$D$5+$D$4,0,IF(AND($A33&gt;=$D$5,$A33&lt;=INT($D$8)-1+$D$4),LOOKUP($A33,Retraite!$A$7:$A$47,Retraite!$L$7:$L$47)/LOOKUP($A33,Barèmes!$A$65:$A$148,Barèmes!$G$65:$G$148),IF($A33=INT($D$8+$D$4),(LOOKUP($A33,Retraite!$A$7:$A$47,Retraite!$L$7:$L$47)/LOOKUP($A33,Barèmes!$A$65:$A$148,Barèmes!$G$65:$G$148))*(1-(INT($D$8)+1-$D$8)),0)))</f>
        <v>0</v>
      </c>
      <c r="I33" s="151">
        <f>IF($A33&lt;$D$5+$D$4,0,IF(AND($A33&gt;=$D$5,$A33&lt;=INT($D$8)-1+$D$4),LOOKUP($A33,Retraite!$A$7:$A$47,Retraite!$P$7:$P$47)/LOOKUP($A33,Barèmes!$A$65:$A$148,Barèmes!$G$65:$G$148),IF($A33=INT($D$8+$D$4),(LOOKUP($A33,Retraite!$A$7:$A$47,Retraite!$P$7:$P$47)/LOOKUP($A33,Barèmes!$A$65:$A$148,Barèmes!$G$65:$G$148))*(1-(INT($D$8)+1-$D$8)),0)))</f>
        <v>0</v>
      </c>
      <c r="J33" s="121">
        <f>IF($A33&lt;$D$5+$D$4,(LOOKUP($A33,Cot_droits!$A$17:$A$68,Cot_droits!$H$17:$H$68)+LOOKUP($A33,Cot_droits!$A$17:$A$68,Cot_droits!$L$17:$L$68))/LOOKUP($A33,Barèmes!$A$65:$A$148,Barèmes!$G$65:$G$148),0)</f>
        <v>5102.2689710714958</v>
      </c>
      <c r="L33" s="131">
        <f>IF($A33&lt;$D$5+$D$4,0,IF(AND($A33&gt;=$D$5,$A33&lt;=INT($D$8)-1+$D$4),LOOKUP($A33,Retraite!$A$7:$A$47,Retraite!$M$7:$M$47)/LOOKUP($A33,Barèmes!$A$65:$A$148,Barèmes!$G$65:$G$148),IF($A33=INT($D$8+$D$4),(LOOKUP($A33,Retraite!$A$7:$A$47,Retraite!$M$7:$M$47)/LOOKUP($A33,Barèmes!$A$65:$A$148,Barèmes!$G$65:$G$148))*(1-(INT($D$8)+1-$D$8)),0)))</f>
        <v>0</v>
      </c>
      <c r="M33" s="151">
        <f>IF($A33&lt;$D$5+$D$4,0,IF(AND($A33&gt;=$D$5,$A33&lt;=INT($D$8)-1+$D$4),LOOKUP($A33,Retraite!$A$7:$A$47,Retraite!$Q$7:$Q$47)/LOOKUP($A33,Barèmes!$A$65:$A$148,Barèmes!$G$65:$G$148),IF($A33=INT($D$8+$D$4),(LOOKUP($A33,Retraite!$A$7:$A$47,Retraite!$Q$7:$Q$47)/LOOKUP($A33,Barèmes!$A$65:$A$148,Barèmes!$G$65:$G$148))*(1-(INT($D$8)+1-$D$8)),0)))</f>
        <v>0</v>
      </c>
      <c r="N33" s="121">
        <f>IF($A33&lt;$D$5+$D$4,(LOOKUP($A33,Cot_droits!$A$17:$A$68,Cot_droits!$I$17:$I$68)+LOOKUP($A33,Cot_droits!$A$17:$A$68,Cot_droits!$J$17:$J$68)+LOOKUP($A33,Cot_droits!$A$17:$A$68,Cot_droits!$N$17:$N$68))/LOOKUP($A33,Barèmes!$A$65:$A$148,Barèmes!$G$65:$G$148),0)</f>
        <v>2881.4165727335594</v>
      </c>
      <c r="O33" s="115"/>
    </row>
    <row r="34" spans="1:15" s="43" customFormat="1" ht="15.75" customHeight="1" x14ac:dyDescent="0.25">
      <c r="A34" s="148">
        <f>TRI_prix!A28</f>
        <v>2033</v>
      </c>
      <c r="B34" s="121">
        <f>Cot_droits!C33/LOOKUP($A34,Barèmes!$A$65:$A$148,Barèmes!$G$65:$G$148)</f>
        <v>29645.988363809774</v>
      </c>
      <c r="C34" s="135"/>
      <c r="D34" s="131">
        <f>IF($A34&lt;$D$5+$D$4,0,IF(AND($A34&gt;=$D$5,$A34&lt;=INT($D$8)-1+$D$4),LOOKUP($A34,Retraite!$A$7:$A$47,Retraite!$K$7:$K$47)/LOOKUP($A34,Barèmes!$A$65:$A$148,Barèmes!$G$65:$G$148),IF($A34=INT($D$8+$D$4),(LOOKUP($A34,Retraite!$A$7:$A$47,Retraite!$K$7:$K$47)/LOOKUP($A34,Barèmes!$A$65:$A$148,Barèmes!$G$65:$G$148))*(1-(INT($D$8)+1-$D$8)),0)))</f>
        <v>0</v>
      </c>
      <c r="E34" s="151">
        <f>IF($A34&lt;$D$5+$D$4,0,IF(AND($A34&gt;=$D$5,$A34&lt;=INT($D$8)-1+$D$4),LOOKUP($A34,Retraite!$A$7:$A$47,Retraite!$N$7:$N$47)/LOOKUP($A34,Barèmes!$A$65:$A$148,Barèmes!$G$65:$G$148),IF($A34=INT($D$8+$D$4),(LOOKUP($A34,Retraite!$A$7:$A$47,Retraite!$N$7:$N$47)/LOOKUP($A34,Barèmes!$A$65:$A$148,Barèmes!$G$65:$G$148))*(1-(INT($D$8)+1-$D$8)),0)))</f>
        <v>0</v>
      </c>
      <c r="F34" s="121">
        <f>IF($A34&lt;$D$5+$D$4,LOOKUP($A34,Cot_droits!$A$17:$A$68,Cot_droits!$Q$17:$Q$68)/LOOKUP($A34,Barèmes!$A$65:$A$148,Barèmes!$G$65:$G$148),0)</f>
        <v>8233.8768081645267</v>
      </c>
      <c r="G34" s="115"/>
      <c r="H34" s="131">
        <f>IF($A34&lt;$D$5+$D$4,0,IF(AND($A34&gt;=$D$5,$A34&lt;=INT($D$8)-1+$D$4),LOOKUP($A34,Retraite!$A$7:$A$47,Retraite!$L$7:$L$47)/LOOKUP($A34,Barèmes!$A$65:$A$148,Barèmes!$G$65:$G$148),IF($A34=INT($D$8+$D$4),(LOOKUP($A34,Retraite!$A$7:$A$47,Retraite!$L$7:$L$47)/LOOKUP($A34,Barèmes!$A$65:$A$148,Barèmes!$G$65:$G$148))*(1-(INT($D$8)+1-$D$8)),0)))</f>
        <v>0</v>
      </c>
      <c r="I34" s="151">
        <f>IF($A34&lt;$D$5+$D$4,0,IF(AND($A34&gt;=$D$5,$A34&lt;=INT($D$8)-1+$D$4),LOOKUP($A34,Retraite!$A$7:$A$47,Retraite!$P$7:$P$47)/LOOKUP($A34,Barèmes!$A$65:$A$148,Barèmes!$G$65:$G$148),IF($A34=INT($D$8+$D$4),(LOOKUP($A34,Retraite!$A$7:$A$47,Retraite!$P$7:$P$47)/LOOKUP($A34,Barèmes!$A$65:$A$148,Barèmes!$G$65:$G$148))*(1-(INT($D$8)+1-$D$8)),0)))</f>
        <v>0</v>
      </c>
      <c r="J34" s="121">
        <f>IF($A34&lt;$D$5+$D$4,(LOOKUP($A34,Cot_droits!$A$17:$A$68,Cot_droits!$H$17:$H$68)+LOOKUP($A34,Cot_droits!$A$17:$A$68,Cot_droits!$L$17:$L$68))/LOOKUP($A34,Barèmes!$A$65:$A$148,Barèmes!$G$65:$G$148),0)</f>
        <v>5262.1629345762349</v>
      </c>
      <c r="L34" s="131">
        <f>IF($A34&lt;$D$5+$D$4,0,IF(AND($A34&gt;=$D$5,$A34&lt;=INT($D$8)-1+$D$4),LOOKUP($A34,Retraite!$A$7:$A$47,Retraite!$M$7:$M$47)/LOOKUP($A34,Barèmes!$A$65:$A$148,Barèmes!$G$65:$G$148),IF($A34=INT($D$8+$D$4),(LOOKUP($A34,Retraite!$A$7:$A$47,Retraite!$M$7:$M$47)/LOOKUP($A34,Barèmes!$A$65:$A$148,Barèmes!$G$65:$G$148))*(1-(INT($D$8)+1-$D$8)),0)))</f>
        <v>0</v>
      </c>
      <c r="M34" s="151">
        <f>IF($A34&lt;$D$5+$D$4,0,IF(AND($A34&gt;=$D$5,$A34&lt;=INT($D$8)-1+$D$4),LOOKUP($A34,Retraite!$A$7:$A$47,Retraite!$Q$7:$Q$47)/LOOKUP($A34,Barèmes!$A$65:$A$148,Barèmes!$G$65:$G$148),IF($A34=INT($D$8+$D$4),(LOOKUP($A34,Retraite!$A$7:$A$47,Retraite!$Q$7:$Q$47)/LOOKUP($A34,Barèmes!$A$65:$A$148,Barèmes!$G$65:$G$148))*(1-(INT($D$8)+1-$D$8)),0)))</f>
        <v>0</v>
      </c>
      <c r="N34" s="121">
        <f>IF($A34&lt;$D$5+$D$4,(LOOKUP($A34,Cot_droits!$A$17:$A$68,Cot_droits!$I$17:$I$68)+LOOKUP($A34,Cot_droits!$A$17:$A$68,Cot_droits!$J$17:$J$68)+LOOKUP($A34,Cot_droits!$A$17:$A$68,Cot_droits!$N$17:$N$68))/LOOKUP($A34,Barèmes!$A$65:$A$148,Barèmes!$G$65:$G$148),0)</f>
        <v>2971.7138735882922</v>
      </c>
      <c r="O34" s="115"/>
    </row>
    <row r="35" spans="1:15" s="43" customFormat="1" ht="15.75" customHeight="1" x14ac:dyDescent="0.25">
      <c r="A35" s="148">
        <f>TRI_prix!A29</f>
        <v>2034</v>
      </c>
      <c r="B35" s="121">
        <f>Cot_droits!C34/LOOKUP($A35,Barèmes!$A$65:$A$148,Barèmes!$G$65:$G$148)</f>
        <v>30689.516088457538</v>
      </c>
      <c r="C35" s="135"/>
      <c r="D35" s="131">
        <f>IF($A35&lt;$D$5+$D$4,0,IF(AND($A35&gt;=$D$5,$A35&lt;=INT($D$8)-1+$D$4),LOOKUP($A35,Retraite!$A$7:$A$47,Retraite!$K$7:$K$47)/LOOKUP($A35,Barèmes!$A$65:$A$148,Barèmes!$G$65:$G$148),IF($A35=INT($D$8+$D$4),(LOOKUP($A35,Retraite!$A$7:$A$47,Retraite!$K$7:$K$47)/LOOKUP($A35,Barèmes!$A$65:$A$148,Barèmes!$G$65:$G$148))*(1-(INT($D$8)+1-$D$8)),0)))</f>
        <v>0</v>
      </c>
      <c r="E35" s="151">
        <f>IF($A35&lt;$D$5+$D$4,0,IF(AND($A35&gt;=$D$5,$A35&lt;=INT($D$8)-1+$D$4),LOOKUP($A35,Retraite!$A$7:$A$47,Retraite!$N$7:$N$47)/LOOKUP($A35,Barèmes!$A$65:$A$148,Barèmes!$G$65:$G$148),IF($A35=INT($D$8+$D$4),(LOOKUP($A35,Retraite!$A$7:$A$47,Retraite!$N$7:$N$47)/LOOKUP($A35,Barèmes!$A$65:$A$148,Barèmes!$G$65:$G$148))*(1-(INT($D$8)+1-$D$8)),0)))</f>
        <v>0</v>
      </c>
      <c r="F35" s="121">
        <f>IF($A35&lt;$D$5+$D$4,LOOKUP($A35,Cot_droits!$A$17:$A$68,Cot_droits!$Q$17:$Q$68)/LOOKUP($A35,Barèmes!$A$65:$A$148,Barèmes!$G$65:$G$148),0)</f>
        <v>8523.7061984081956</v>
      </c>
      <c r="G35" s="115"/>
      <c r="H35" s="131">
        <f>IF($A35&lt;$D$5+$D$4,0,IF(AND($A35&gt;=$D$5,$A35&lt;=INT($D$8)-1+$D$4),LOOKUP($A35,Retraite!$A$7:$A$47,Retraite!$L$7:$L$47)/LOOKUP($A35,Barèmes!$A$65:$A$148,Barèmes!$G$65:$G$148),IF($A35=INT($D$8+$D$4),(LOOKUP($A35,Retraite!$A$7:$A$47,Retraite!$L$7:$L$47)/LOOKUP($A35,Barèmes!$A$65:$A$148,Barèmes!$G$65:$G$148))*(1-(INT($D$8)+1-$D$8)),0)))</f>
        <v>0</v>
      </c>
      <c r="I35" s="151">
        <f>IF($A35&lt;$D$5+$D$4,0,IF(AND($A35&gt;=$D$5,$A35&lt;=INT($D$8)-1+$D$4),LOOKUP($A35,Retraite!$A$7:$A$47,Retraite!$P$7:$P$47)/LOOKUP($A35,Barèmes!$A$65:$A$148,Barèmes!$G$65:$G$148),IF($A35=INT($D$8+$D$4),(LOOKUP($A35,Retraite!$A$7:$A$47,Retraite!$P$7:$P$47)/LOOKUP($A35,Barèmes!$A$65:$A$148,Barèmes!$G$65:$G$148))*(1-(INT($D$8)+1-$D$8)),0)))</f>
        <v>0</v>
      </c>
      <c r="J35" s="121">
        <f>IF($A35&lt;$D$5+$D$4,(LOOKUP($A35,Cot_droits!$A$17:$A$68,Cot_droits!$H$17:$H$68)+LOOKUP($A35,Cot_droits!$A$17:$A$68,Cot_droits!$L$17:$L$68))/LOOKUP($A35,Barèmes!$A$65:$A$148,Barèmes!$G$65:$G$148),0)</f>
        <v>5447.3891057012124</v>
      </c>
      <c r="L35" s="131">
        <f>IF($A35&lt;$D$5+$D$4,0,IF(AND($A35&gt;=$D$5,$A35&lt;=INT($D$8)-1+$D$4),LOOKUP($A35,Retraite!$A$7:$A$47,Retraite!$M$7:$M$47)/LOOKUP($A35,Barèmes!$A$65:$A$148,Barèmes!$G$65:$G$148),IF($A35=INT($D$8+$D$4),(LOOKUP($A35,Retraite!$A$7:$A$47,Retraite!$M$7:$M$47)/LOOKUP($A35,Barèmes!$A$65:$A$148,Barèmes!$G$65:$G$148))*(1-(INT($D$8)+1-$D$8)),0)))</f>
        <v>0</v>
      </c>
      <c r="M35" s="151">
        <f>IF($A35&lt;$D$5+$D$4,0,IF(AND($A35&gt;=$D$5,$A35&lt;=INT($D$8)-1+$D$4),LOOKUP($A35,Retraite!$A$7:$A$47,Retraite!$Q$7:$Q$47)/LOOKUP($A35,Barèmes!$A$65:$A$148,Barèmes!$G$65:$G$148),IF($A35=INT($D$8+$D$4),(LOOKUP($A35,Retraite!$A$7:$A$47,Retraite!$Q$7:$Q$47)/LOOKUP($A35,Barèmes!$A$65:$A$148,Barèmes!$G$65:$G$148))*(1-(INT($D$8)+1-$D$8)),0)))</f>
        <v>0</v>
      </c>
      <c r="N35" s="121">
        <f>IF($A35&lt;$D$5+$D$4,(LOOKUP($A35,Cot_droits!$A$17:$A$68,Cot_droits!$I$17:$I$68)+LOOKUP($A35,Cot_droits!$A$17:$A$68,Cot_droits!$J$17:$J$68)+LOOKUP($A35,Cot_droits!$A$17:$A$68,Cot_droits!$N$17:$N$68))/LOOKUP($A35,Barèmes!$A$65:$A$148,Barèmes!$G$65:$G$148),0)</f>
        <v>3076.3170927069837</v>
      </c>
      <c r="O35" s="115"/>
    </row>
    <row r="36" spans="1:15" s="43" customFormat="1" ht="15.75" customHeight="1" x14ac:dyDescent="0.25">
      <c r="A36" s="148">
        <f>TRI_prix!A30</f>
        <v>2035</v>
      </c>
      <c r="B36" s="121">
        <f>Cot_droits!C35/LOOKUP($A36,Barèmes!$A$65:$A$148,Barèmes!$G$65:$G$148)</f>
        <v>31459.383917551178</v>
      </c>
      <c r="C36" s="135"/>
      <c r="D36" s="131">
        <f>IF($A36&lt;$D$5+$D$4,0,IF(AND($A36&gt;=$D$5,$A36&lt;=INT($D$8)-1+$D$4),LOOKUP($A36,Retraite!$A$7:$A$47,Retraite!$K$7:$K$47)/LOOKUP($A36,Barèmes!$A$65:$A$148,Barèmes!$G$65:$G$148),IF($A36=INT($D$8+$D$4),(LOOKUP($A36,Retraite!$A$7:$A$47,Retraite!$K$7:$K$47)/LOOKUP($A36,Barèmes!$A$65:$A$148,Barèmes!$G$65:$G$148))*(1-(INT($D$8)+1-$D$8)),0)))</f>
        <v>0</v>
      </c>
      <c r="E36" s="151">
        <f>IF($A36&lt;$D$5+$D$4,0,IF(AND($A36&gt;=$D$5,$A36&lt;=INT($D$8)-1+$D$4),LOOKUP($A36,Retraite!$A$7:$A$47,Retraite!$N$7:$N$47)/LOOKUP($A36,Barèmes!$A$65:$A$148,Barèmes!$G$65:$G$148),IF($A36=INT($D$8+$D$4),(LOOKUP($A36,Retraite!$A$7:$A$47,Retraite!$N$7:$N$47)/LOOKUP($A36,Barèmes!$A$65:$A$148,Barèmes!$G$65:$G$148))*(1-(INT($D$8)+1-$D$8)),0)))</f>
        <v>0</v>
      </c>
      <c r="F36" s="121">
        <f>IF($A36&lt;$D$5+$D$4,LOOKUP($A36,Cot_droits!$A$17:$A$68,Cot_droits!$Q$17:$Q$68)/LOOKUP($A36,Barèmes!$A$65:$A$148,Barèmes!$G$65:$G$148),0)</f>
        <v>8737.5292892606649</v>
      </c>
      <c r="G36" s="115"/>
      <c r="H36" s="131">
        <f>IF($A36&lt;$D$5+$D$4,0,IF(AND($A36&gt;=$D$5,$A36&lt;=INT($D$8)-1+$D$4),LOOKUP($A36,Retraite!$A$7:$A$47,Retraite!$L$7:$L$47)/LOOKUP($A36,Barèmes!$A$65:$A$148,Barèmes!$G$65:$G$148),IF($A36=INT($D$8+$D$4),(LOOKUP($A36,Retraite!$A$7:$A$47,Retraite!$L$7:$L$47)/LOOKUP($A36,Barèmes!$A$65:$A$148,Barèmes!$G$65:$G$148))*(1-(INT($D$8)+1-$D$8)),0)))</f>
        <v>0</v>
      </c>
      <c r="I36" s="151">
        <f>IF($A36&lt;$D$5+$D$4,0,IF(AND($A36&gt;=$D$5,$A36&lt;=INT($D$8)-1+$D$4),LOOKUP($A36,Retraite!$A$7:$A$47,Retraite!$P$7:$P$47)/LOOKUP($A36,Barèmes!$A$65:$A$148,Barèmes!$G$65:$G$148),IF($A36=INT($D$8+$D$4),(LOOKUP($A36,Retraite!$A$7:$A$47,Retraite!$P$7:$P$47)/LOOKUP($A36,Barèmes!$A$65:$A$148,Barèmes!$G$65:$G$148))*(1-(INT($D$8)+1-$D$8)),0)))</f>
        <v>0</v>
      </c>
      <c r="J36" s="121">
        <f>IF($A36&lt;$D$5+$D$4,(LOOKUP($A36,Cot_droits!$A$17:$A$68,Cot_droits!$H$17:$H$68)+LOOKUP($A36,Cot_droits!$A$17:$A$68,Cot_droits!$L$17:$L$68))/LOOKUP($A36,Barèmes!$A$65:$A$148,Barèmes!$G$65:$G$148),0)</f>
        <v>5584.0406453653341</v>
      </c>
      <c r="L36" s="131">
        <f>IF($A36&lt;$D$5+$D$4,0,IF(AND($A36&gt;=$D$5,$A36&lt;=INT($D$8)-1+$D$4),LOOKUP($A36,Retraite!$A$7:$A$47,Retraite!$M$7:$M$47)/LOOKUP($A36,Barèmes!$A$65:$A$148,Barèmes!$G$65:$G$148),IF($A36=INT($D$8+$D$4),(LOOKUP($A36,Retraite!$A$7:$A$47,Retraite!$M$7:$M$47)/LOOKUP($A36,Barèmes!$A$65:$A$148,Barèmes!$G$65:$G$148))*(1-(INT($D$8)+1-$D$8)),0)))</f>
        <v>0</v>
      </c>
      <c r="M36" s="151">
        <f>IF($A36&lt;$D$5+$D$4,0,IF(AND($A36&gt;=$D$5,$A36&lt;=INT($D$8)-1+$D$4),LOOKUP($A36,Retraite!$A$7:$A$47,Retraite!$Q$7:$Q$47)/LOOKUP($A36,Barèmes!$A$65:$A$148,Barèmes!$G$65:$G$148),IF($A36=INT($D$8+$D$4),(LOOKUP($A36,Retraite!$A$7:$A$47,Retraite!$Q$7:$Q$47)/LOOKUP($A36,Barèmes!$A$65:$A$148,Barèmes!$G$65:$G$148))*(1-(INT($D$8)+1-$D$8)),0)))</f>
        <v>0</v>
      </c>
      <c r="N36" s="121">
        <f>IF($A36&lt;$D$5+$D$4,(LOOKUP($A36,Cot_droits!$A$17:$A$68,Cot_droits!$I$17:$I$68)+LOOKUP($A36,Cot_droits!$A$17:$A$68,Cot_droits!$J$17:$J$68)+LOOKUP($A36,Cot_droits!$A$17:$A$68,Cot_droits!$N$17:$N$68))/LOOKUP($A36,Barèmes!$A$65:$A$148,Barèmes!$G$65:$G$148),0)</f>
        <v>3153.4886438953304</v>
      </c>
      <c r="O36" s="115"/>
    </row>
    <row r="37" spans="1:15" s="43" customFormat="1" ht="15.75" customHeight="1" x14ac:dyDescent="0.25">
      <c r="A37" s="148">
        <f>TRI_prix!A31</f>
        <v>2036</v>
      </c>
      <c r="B37" s="121">
        <f>Cot_droits!C36/LOOKUP($A37,Barèmes!$A$65:$A$148,Barèmes!$G$65:$G$148)</f>
        <v>31652.39668238792</v>
      </c>
      <c r="C37" s="135"/>
      <c r="D37" s="131">
        <f>IF($A37&lt;$D$5+$D$4,0,IF(AND($A37&gt;=$D$5,$A37&lt;=INT($D$8)-1+$D$4),LOOKUP($A37,Retraite!$A$7:$A$47,Retraite!$K$7:$K$47)/LOOKUP($A37,Barèmes!$A$65:$A$148,Barèmes!$G$65:$G$148),IF($A37=INT($D$8+$D$4),(LOOKUP($A37,Retraite!$A$7:$A$47,Retraite!$K$7:$K$47)/LOOKUP($A37,Barèmes!$A$65:$A$148,Barèmes!$G$65:$G$148))*(1-(INT($D$8)+1-$D$8)),0)))</f>
        <v>0</v>
      </c>
      <c r="E37" s="151">
        <f>IF($A37&lt;$D$5+$D$4,0,IF(AND($A37&gt;=$D$5,$A37&lt;=INT($D$8)-1+$D$4),LOOKUP($A37,Retraite!$A$7:$A$47,Retraite!$N$7:$N$47)/LOOKUP($A37,Barèmes!$A$65:$A$148,Barèmes!$G$65:$G$148),IF($A37=INT($D$8+$D$4),(LOOKUP($A37,Retraite!$A$7:$A$47,Retraite!$N$7:$N$47)/LOOKUP($A37,Barèmes!$A$65:$A$148,Barèmes!$G$65:$G$148))*(1-(INT($D$8)+1-$D$8)),0)))</f>
        <v>0</v>
      </c>
      <c r="F37" s="121">
        <f>IF($A37&lt;$D$5+$D$4,LOOKUP($A37,Cot_droits!$A$17:$A$68,Cot_droits!$Q$17:$Q$68)/LOOKUP($A37,Barèmes!$A$65:$A$148,Barèmes!$G$65:$G$148),0)</f>
        <v>8791.1366545664205</v>
      </c>
      <c r="G37" s="115"/>
      <c r="H37" s="131">
        <f>IF($A37&lt;$D$5+$D$4,0,IF(AND($A37&gt;=$D$5,$A37&lt;=INT($D$8)-1+$D$4),LOOKUP($A37,Retraite!$A$7:$A$47,Retraite!$L$7:$L$47)/LOOKUP($A37,Barèmes!$A$65:$A$148,Barèmes!$G$65:$G$148),IF($A37=INT($D$8+$D$4),(LOOKUP($A37,Retraite!$A$7:$A$47,Retraite!$L$7:$L$47)/LOOKUP($A37,Barèmes!$A$65:$A$148,Barèmes!$G$65:$G$148))*(1-(INT($D$8)+1-$D$8)),0)))</f>
        <v>0</v>
      </c>
      <c r="I37" s="151">
        <f>IF($A37&lt;$D$5+$D$4,0,IF(AND($A37&gt;=$D$5,$A37&lt;=INT($D$8)-1+$D$4),LOOKUP($A37,Retraite!$A$7:$A$47,Retraite!$P$7:$P$47)/LOOKUP($A37,Barèmes!$A$65:$A$148,Barèmes!$G$65:$G$148),IF($A37=INT($D$8+$D$4),(LOOKUP($A37,Retraite!$A$7:$A$47,Retraite!$P$7:$P$47)/LOOKUP($A37,Barèmes!$A$65:$A$148,Barèmes!$G$65:$G$148))*(1-(INT($D$8)+1-$D$8)),0)))</f>
        <v>0</v>
      </c>
      <c r="J37" s="121">
        <f>IF($A37&lt;$D$5+$D$4,(LOOKUP($A37,Cot_droits!$A$17:$A$68,Cot_droits!$H$17:$H$68)+LOOKUP($A37,Cot_droits!$A$17:$A$68,Cot_droits!$L$17:$L$68))/LOOKUP($A37,Barèmes!$A$65:$A$148,Barèmes!$G$65:$G$148),0)</f>
        <v>5618.3004111238561</v>
      </c>
      <c r="L37" s="131">
        <f>IF($A37&lt;$D$5+$D$4,0,IF(AND($A37&gt;=$D$5,$A37&lt;=INT($D$8)-1+$D$4),LOOKUP($A37,Retraite!$A$7:$A$47,Retraite!$M$7:$M$47)/LOOKUP($A37,Barèmes!$A$65:$A$148,Barèmes!$G$65:$G$148),IF($A37=INT($D$8+$D$4),(LOOKUP($A37,Retraite!$A$7:$A$47,Retraite!$M$7:$M$47)/LOOKUP($A37,Barèmes!$A$65:$A$148,Barèmes!$G$65:$G$148))*(1-(INT($D$8)+1-$D$8)),0)))</f>
        <v>0</v>
      </c>
      <c r="M37" s="151">
        <f>IF($A37&lt;$D$5+$D$4,0,IF(AND($A37&gt;=$D$5,$A37&lt;=INT($D$8)-1+$D$4),LOOKUP($A37,Retraite!$A$7:$A$47,Retraite!$Q$7:$Q$47)/LOOKUP($A37,Barèmes!$A$65:$A$148,Barèmes!$G$65:$G$148),IF($A37=INT($D$8+$D$4),(LOOKUP($A37,Retraite!$A$7:$A$47,Retraite!$Q$7:$Q$47)/LOOKUP($A37,Barèmes!$A$65:$A$148,Barèmes!$G$65:$G$148))*(1-(INT($D$8)+1-$D$8)),0)))</f>
        <v>0</v>
      </c>
      <c r="N37" s="121">
        <f>IF($A37&lt;$D$5+$D$4,(LOOKUP($A37,Cot_droits!$A$17:$A$68,Cot_droits!$I$17:$I$68)+LOOKUP($A37,Cot_droits!$A$17:$A$68,Cot_droits!$J$17:$J$68)+LOOKUP($A37,Cot_droits!$A$17:$A$68,Cot_droits!$N$17:$N$68))/LOOKUP($A37,Barèmes!$A$65:$A$148,Barèmes!$G$65:$G$148),0)</f>
        <v>3172.8362434425653</v>
      </c>
      <c r="O37" s="115"/>
    </row>
    <row r="38" spans="1:15" s="43" customFormat="1" ht="15.75" customHeight="1" x14ac:dyDescent="0.25">
      <c r="A38" s="148">
        <f>TRI_prix!A32</f>
        <v>2037</v>
      </c>
      <c r="B38" s="121">
        <f>Cot_droits!C37/LOOKUP($A38,Barèmes!$A$65:$A$148,Barèmes!$G$65:$G$148)</f>
        <v>32675.819561434033</v>
      </c>
      <c r="C38" s="135"/>
      <c r="D38" s="131">
        <f>IF($A38&lt;$D$5+$D$4,0,IF(AND($A38&gt;=$D$5,$A38&lt;=INT($D$8)-1+$D$4),LOOKUP($A38,Retraite!$A$7:$A$47,Retraite!$K$7:$K$47)/LOOKUP($A38,Barèmes!$A$65:$A$148,Barèmes!$G$65:$G$148),IF($A38=INT($D$8+$D$4),(LOOKUP($A38,Retraite!$A$7:$A$47,Retraite!$K$7:$K$47)/LOOKUP($A38,Barèmes!$A$65:$A$148,Barèmes!$G$65:$G$148))*(1-(INT($D$8)+1-$D$8)),0)))</f>
        <v>0</v>
      </c>
      <c r="E38" s="151">
        <f>IF($A38&lt;$D$5+$D$4,0,IF(AND($A38&gt;=$D$5,$A38&lt;=INT($D$8)-1+$D$4),LOOKUP($A38,Retraite!$A$7:$A$47,Retraite!$N$7:$N$47)/LOOKUP($A38,Barèmes!$A$65:$A$148,Barèmes!$G$65:$G$148),IF($A38=INT($D$8+$D$4),(LOOKUP($A38,Retraite!$A$7:$A$47,Retraite!$N$7:$N$47)/LOOKUP($A38,Barèmes!$A$65:$A$148,Barèmes!$G$65:$G$148))*(1-(INT($D$8)+1-$D$8)),0)))</f>
        <v>0</v>
      </c>
      <c r="F38" s="121">
        <f>IF($A38&lt;$D$5+$D$4,LOOKUP($A38,Cot_droits!$A$17:$A$68,Cot_droits!$Q$17:$Q$68)/LOOKUP($A38,Barèmes!$A$65:$A$148,Barèmes!$G$65:$G$148),0)</f>
        <v>9075.3821249926896</v>
      </c>
      <c r="G38" s="115"/>
      <c r="H38" s="131">
        <f>IF($A38&lt;$D$5+$D$4,0,IF(AND($A38&gt;=$D$5,$A38&lt;=INT($D$8)-1+$D$4),LOOKUP($A38,Retraite!$A$7:$A$47,Retraite!$L$7:$L$47)/LOOKUP($A38,Barèmes!$A$65:$A$148,Barèmes!$G$65:$G$148),IF($A38=INT($D$8+$D$4),(LOOKUP($A38,Retraite!$A$7:$A$47,Retraite!$L$7:$L$47)/LOOKUP($A38,Barèmes!$A$65:$A$148,Barèmes!$G$65:$G$148))*(1-(INT($D$8)+1-$D$8)),0)))</f>
        <v>0</v>
      </c>
      <c r="I38" s="151">
        <f>IF($A38&lt;$D$5+$D$4,0,IF(AND($A38&gt;=$D$5,$A38&lt;=INT($D$8)-1+$D$4),LOOKUP($A38,Retraite!$A$7:$A$47,Retraite!$P$7:$P$47)/LOOKUP($A38,Barèmes!$A$65:$A$148,Barèmes!$G$65:$G$148),IF($A38=INT($D$8+$D$4),(LOOKUP($A38,Retraite!$A$7:$A$47,Retraite!$P$7:$P$47)/LOOKUP($A38,Barèmes!$A$65:$A$148,Barèmes!$G$65:$G$148))*(1-(INT($D$8)+1-$D$8)),0)))</f>
        <v>0</v>
      </c>
      <c r="J38" s="121">
        <f>IF($A38&lt;$D$5+$D$4,(LOOKUP($A38,Cot_droits!$A$17:$A$68,Cot_droits!$H$17:$H$68)+LOOKUP($A38,Cot_droits!$A$17:$A$68,Cot_droits!$L$17:$L$68))/LOOKUP($A38,Barèmes!$A$65:$A$148,Barèmes!$G$65:$G$148),0)</f>
        <v>5799.9579721545406</v>
      </c>
      <c r="L38" s="131">
        <f>IF($A38&lt;$D$5+$D$4,0,IF(AND($A38&gt;=$D$5,$A38&lt;=INT($D$8)-1+$D$4),LOOKUP($A38,Retraite!$A$7:$A$47,Retraite!$M$7:$M$47)/LOOKUP($A38,Barèmes!$A$65:$A$148,Barèmes!$G$65:$G$148),IF($A38=INT($D$8+$D$4),(LOOKUP($A38,Retraite!$A$7:$A$47,Retraite!$M$7:$M$47)/LOOKUP($A38,Barèmes!$A$65:$A$148,Barèmes!$G$65:$G$148))*(1-(INT($D$8)+1-$D$8)),0)))</f>
        <v>0</v>
      </c>
      <c r="M38" s="151">
        <f>IF($A38&lt;$D$5+$D$4,0,IF(AND($A38&gt;=$D$5,$A38&lt;=INT($D$8)-1+$D$4),LOOKUP($A38,Retraite!$A$7:$A$47,Retraite!$Q$7:$Q$47)/LOOKUP($A38,Barèmes!$A$65:$A$148,Barèmes!$G$65:$G$148),IF($A38=INT($D$8+$D$4),(LOOKUP($A38,Retraite!$A$7:$A$47,Retraite!$Q$7:$Q$47)/LOOKUP($A38,Barèmes!$A$65:$A$148,Barèmes!$G$65:$G$148))*(1-(INT($D$8)+1-$D$8)),0)))</f>
        <v>0</v>
      </c>
      <c r="N38" s="121">
        <f>IF($A38&lt;$D$5+$D$4,(LOOKUP($A38,Cot_droits!$A$17:$A$68,Cot_droits!$I$17:$I$68)+LOOKUP($A38,Cot_droits!$A$17:$A$68,Cot_droits!$J$17:$J$68)+LOOKUP($A38,Cot_droits!$A$17:$A$68,Cot_droits!$N$17:$N$68))/LOOKUP($A38,Barèmes!$A$65:$A$148,Barèmes!$G$65:$G$148),0)</f>
        <v>3275.4241528381476</v>
      </c>
      <c r="O38" s="115"/>
    </row>
    <row r="39" spans="1:15" s="43" customFormat="1" ht="15.75" customHeight="1" x14ac:dyDescent="0.25">
      <c r="A39" s="148">
        <f>TRI_prix!A33</f>
        <v>2038</v>
      </c>
      <c r="B39" s="121">
        <f>Cot_droits!C38/LOOKUP($A39,Barèmes!$A$65:$A$148,Barèmes!$G$65:$G$148)</f>
        <v>32769.957375891565</v>
      </c>
      <c r="C39" s="135"/>
      <c r="D39" s="131">
        <f>IF($A39&lt;$D$5+$D$4,0,IF(AND($A39&gt;=$D$5,$A39&lt;=INT($D$8)-1+$D$4),LOOKUP($A39,Retraite!$A$7:$A$47,Retraite!$K$7:$K$47)/LOOKUP($A39,Barèmes!$A$65:$A$148,Barèmes!$G$65:$G$148),IF($A39=INT($D$8+$D$4),(LOOKUP($A39,Retraite!$A$7:$A$47,Retraite!$K$7:$K$47)/LOOKUP($A39,Barèmes!$A$65:$A$148,Barèmes!$G$65:$G$148))*(1-(INT($D$8)+1-$D$8)),0)))</f>
        <v>0</v>
      </c>
      <c r="E39" s="151">
        <f>IF($A39&lt;$D$5+$D$4,0,IF(AND($A39&gt;=$D$5,$A39&lt;=INT($D$8)-1+$D$4),LOOKUP($A39,Retraite!$A$7:$A$47,Retraite!$N$7:$N$47)/LOOKUP($A39,Barèmes!$A$65:$A$148,Barèmes!$G$65:$G$148),IF($A39=INT($D$8+$D$4),(LOOKUP($A39,Retraite!$A$7:$A$47,Retraite!$N$7:$N$47)/LOOKUP($A39,Barèmes!$A$65:$A$148,Barèmes!$G$65:$G$148))*(1-(INT($D$8)+1-$D$8)),0)))</f>
        <v>0</v>
      </c>
      <c r="F39" s="121">
        <f>IF($A39&lt;$D$5+$D$4,LOOKUP($A39,Cot_droits!$A$17:$A$68,Cot_droits!$Q$17:$Q$68)/LOOKUP($A39,Barèmes!$A$65:$A$148,Barèmes!$G$65:$G$148),0)</f>
        <v>9101.5279615801246</v>
      </c>
      <c r="G39" s="115"/>
      <c r="H39" s="131">
        <f>IF($A39&lt;$D$5+$D$4,0,IF(AND($A39&gt;=$D$5,$A39&lt;=INT($D$8)-1+$D$4),LOOKUP($A39,Retraite!$A$7:$A$47,Retraite!$L$7:$L$47)/LOOKUP($A39,Barèmes!$A$65:$A$148,Barèmes!$G$65:$G$148),IF($A39=INT($D$8+$D$4),(LOOKUP($A39,Retraite!$A$7:$A$47,Retraite!$L$7:$L$47)/LOOKUP($A39,Barèmes!$A$65:$A$148,Barèmes!$G$65:$G$148))*(1-(INT($D$8)+1-$D$8)),0)))</f>
        <v>0</v>
      </c>
      <c r="I39" s="151">
        <f>IF($A39&lt;$D$5+$D$4,0,IF(AND($A39&gt;=$D$5,$A39&lt;=INT($D$8)-1+$D$4),LOOKUP($A39,Retraite!$A$7:$A$47,Retraite!$P$7:$P$47)/LOOKUP($A39,Barèmes!$A$65:$A$148,Barèmes!$G$65:$G$148),IF($A39=INT($D$8+$D$4),(LOOKUP($A39,Retraite!$A$7:$A$47,Retraite!$P$7:$P$47)/LOOKUP($A39,Barèmes!$A$65:$A$148,Barèmes!$G$65:$G$148))*(1-(INT($D$8)+1-$D$8)),0)))</f>
        <v>0</v>
      </c>
      <c r="J39" s="121">
        <f>IF($A39&lt;$D$5+$D$4,(LOOKUP($A39,Cot_droits!$A$17:$A$68,Cot_droits!$H$17:$H$68)+LOOKUP($A39,Cot_droits!$A$17:$A$68,Cot_droits!$L$17:$L$68))/LOOKUP($A39,Barèmes!$A$65:$A$148,Barèmes!$G$65:$G$148),0)</f>
        <v>5816.6674342207534</v>
      </c>
      <c r="L39" s="131">
        <f>IF($A39&lt;$D$5+$D$4,0,IF(AND($A39&gt;=$D$5,$A39&lt;=INT($D$8)-1+$D$4),LOOKUP($A39,Retraite!$A$7:$A$47,Retraite!$M$7:$M$47)/LOOKUP($A39,Barèmes!$A$65:$A$148,Barèmes!$G$65:$G$148),IF($A39=INT($D$8+$D$4),(LOOKUP($A39,Retraite!$A$7:$A$47,Retraite!$M$7:$M$47)/LOOKUP($A39,Barèmes!$A$65:$A$148,Barèmes!$G$65:$G$148))*(1-(INT($D$8)+1-$D$8)),0)))</f>
        <v>0</v>
      </c>
      <c r="M39" s="151">
        <f>IF($A39&lt;$D$5+$D$4,0,IF(AND($A39&gt;=$D$5,$A39&lt;=INT($D$8)-1+$D$4),LOOKUP($A39,Retraite!$A$7:$A$47,Retraite!$Q$7:$Q$47)/LOOKUP($A39,Barèmes!$A$65:$A$148,Barèmes!$G$65:$G$148),IF($A39=INT($D$8+$D$4),(LOOKUP($A39,Retraite!$A$7:$A$47,Retraite!$Q$7:$Q$47)/LOOKUP($A39,Barèmes!$A$65:$A$148,Barèmes!$G$65:$G$148))*(1-(INT($D$8)+1-$D$8)),0)))</f>
        <v>0</v>
      </c>
      <c r="N39" s="121">
        <f>IF($A39&lt;$D$5+$D$4,(LOOKUP($A39,Cot_droits!$A$17:$A$68,Cot_droits!$I$17:$I$68)+LOOKUP($A39,Cot_droits!$A$17:$A$68,Cot_droits!$J$17:$J$68)+LOOKUP($A39,Cot_droits!$A$17:$A$68,Cot_droits!$N$17:$N$68))/LOOKUP($A39,Barèmes!$A$65:$A$148,Barèmes!$G$65:$G$148),0)</f>
        <v>3284.8605273593707</v>
      </c>
      <c r="O39" s="115"/>
    </row>
    <row r="40" spans="1:15" s="43" customFormat="1" ht="15.75" customHeight="1" x14ac:dyDescent="0.25">
      <c r="A40" s="148">
        <f>TRI_prix!A34</f>
        <v>2039</v>
      </c>
      <c r="B40" s="121">
        <f>Cot_droits!C39/LOOKUP($A40,Barèmes!$A$65:$A$148,Barèmes!$G$65:$G$148)</f>
        <v>33831.98250742221</v>
      </c>
      <c r="C40" s="135"/>
      <c r="D40" s="131">
        <f>IF($A40&lt;$D$5+$D$4,0,IF(AND($A40&gt;=$D$5,$A40&lt;=INT($D$8)-1+$D$4),LOOKUP($A40,Retraite!$A$7:$A$47,Retraite!$K$7:$K$47)/LOOKUP($A40,Barèmes!$A$65:$A$148,Barèmes!$G$65:$G$148),IF($A40=INT($D$8+$D$4),(LOOKUP($A40,Retraite!$A$7:$A$47,Retraite!$K$7:$K$47)/LOOKUP($A40,Barèmes!$A$65:$A$148,Barèmes!$G$65:$G$148))*(1-(INT($D$8)+1-$D$8)),0)))</f>
        <v>0</v>
      </c>
      <c r="E40" s="151">
        <f>IF($A40&lt;$D$5+$D$4,0,IF(AND($A40&gt;=$D$5,$A40&lt;=INT($D$8)-1+$D$4),LOOKUP($A40,Retraite!$A$7:$A$47,Retraite!$N$7:$N$47)/LOOKUP($A40,Barèmes!$A$65:$A$148,Barèmes!$G$65:$G$148),IF($A40=INT($D$8+$D$4),(LOOKUP($A40,Retraite!$A$7:$A$47,Retraite!$N$7:$N$47)/LOOKUP($A40,Barèmes!$A$65:$A$148,Barèmes!$G$65:$G$148))*(1-(INT($D$8)+1-$D$8)),0)))</f>
        <v>0</v>
      </c>
      <c r="F40" s="121">
        <f>IF($A40&lt;$D$5+$D$4,LOOKUP($A40,Cot_droits!$A$17:$A$68,Cot_droits!$Q$17:$Q$68)/LOOKUP($A40,Barèmes!$A$65:$A$148,Barèmes!$G$65:$G$148),0)</f>
        <v>9396.4948216114462</v>
      </c>
      <c r="G40" s="115"/>
      <c r="H40" s="131">
        <f>IF($A40&lt;$D$5+$D$4,0,IF(AND($A40&gt;=$D$5,$A40&lt;=INT($D$8)-1+$D$4),LOOKUP($A40,Retraite!$A$7:$A$47,Retraite!$L$7:$L$47)/LOOKUP($A40,Barèmes!$A$65:$A$148,Barèmes!$G$65:$G$148),IF($A40=INT($D$8+$D$4),(LOOKUP($A40,Retraite!$A$7:$A$47,Retraite!$L$7:$L$47)/LOOKUP($A40,Barèmes!$A$65:$A$148,Barèmes!$G$65:$G$148))*(1-(INT($D$8)+1-$D$8)),0)))</f>
        <v>0</v>
      </c>
      <c r="I40" s="151">
        <f>IF($A40&lt;$D$5+$D$4,0,IF(AND($A40&gt;=$D$5,$A40&lt;=INT($D$8)-1+$D$4),LOOKUP($A40,Retraite!$A$7:$A$47,Retraite!$P$7:$P$47)/LOOKUP($A40,Barèmes!$A$65:$A$148,Barèmes!$G$65:$G$148),IF($A40=INT($D$8+$D$4),(LOOKUP($A40,Retraite!$A$7:$A$47,Retraite!$P$7:$P$47)/LOOKUP($A40,Barèmes!$A$65:$A$148,Barèmes!$G$65:$G$148))*(1-(INT($D$8)+1-$D$8)),0)))</f>
        <v>0</v>
      </c>
      <c r="J40" s="121">
        <f>IF($A40&lt;$D$5+$D$4,(LOOKUP($A40,Cot_droits!$A$17:$A$68,Cot_droits!$H$17:$H$68)+LOOKUP($A40,Cot_droits!$A$17:$A$68,Cot_droits!$L$17:$L$68))/LOOKUP($A40,Barèmes!$A$65:$A$148,Barèmes!$G$65:$G$148),0)</f>
        <v>6005.1768950674423</v>
      </c>
      <c r="L40" s="131">
        <f>IF($A40&lt;$D$5+$D$4,0,IF(AND($A40&gt;=$D$5,$A40&lt;=INT($D$8)-1+$D$4),LOOKUP($A40,Retraite!$A$7:$A$47,Retraite!$M$7:$M$47)/LOOKUP($A40,Barèmes!$A$65:$A$148,Barèmes!$G$65:$G$148),IF($A40=INT($D$8+$D$4),(LOOKUP($A40,Retraite!$A$7:$A$47,Retraite!$M$7:$M$47)/LOOKUP($A40,Barèmes!$A$65:$A$148,Barèmes!$G$65:$G$148))*(1-(INT($D$8)+1-$D$8)),0)))</f>
        <v>0</v>
      </c>
      <c r="M40" s="151">
        <f>IF($A40&lt;$D$5+$D$4,0,IF(AND($A40&gt;=$D$5,$A40&lt;=INT($D$8)-1+$D$4),LOOKUP($A40,Retraite!$A$7:$A$47,Retraite!$Q$7:$Q$47)/LOOKUP($A40,Barèmes!$A$65:$A$148,Barèmes!$G$65:$G$148),IF($A40=INT($D$8+$D$4),(LOOKUP($A40,Retraite!$A$7:$A$47,Retraite!$Q$7:$Q$47)/LOOKUP($A40,Barèmes!$A$65:$A$148,Barèmes!$G$65:$G$148))*(1-(INT($D$8)+1-$D$8)),0)))</f>
        <v>0</v>
      </c>
      <c r="N40" s="121">
        <f>IF($A40&lt;$D$5+$D$4,(LOOKUP($A40,Cot_droits!$A$17:$A$68,Cot_droits!$I$17:$I$68)+LOOKUP($A40,Cot_droits!$A$17:$A$68,Cot_droits!$J$17:$J$68)+LOOKUP($A40,Cot_droits!$A$17:$A$68,Cot_droits!$N$17:$N$68))/LOOKUP($A40,Barèmes!$A$65:$A$148,Barèmes!$G$65:$G$148),0)</f>
        <v>3391.3179265440031</v>
      </c>
      <c r="O40" s="115"/>
    </row>
    <row r="41" spans="1:15" s="43" customFormat="1" ht="15.75" customHeight="1" x14ac:dyDescent="0.25">
      <c r="A41" s="148">
        <f>TRI_prix!A35</f>
        <v>2040</v>
      </c>
      <c r="B41" s="121">
        <f>Cot_droits!C40/LOOKUP($A41,Barèmes!$A$65:$A$148,Barèmes!$G$65:$G$148)</f>
        <v>33640.955211702181</v>
      </c>
      <c r="C41" s="135"/>
      <c r="D41" s="131">
        <f>IF($A41&lt;$D$5+$D$4,0,IF(AND($A41&gt;=$D$5,$A41&lt;=INT($D$8)-1+$D$4),LOOKUP($A41,Retraite!$A$7:$A$47,Retraite!$K$7:$K$47)/LOOKUP($A41,Barèmes!$A$65:$A$148,Barèmes!$G$65:$G$148),IF($A41=INT($D$8+$D$4),(LOOKUP($A41,Retraite!$A$7:$A$47,Retraite!$K$7:$K$47)/LOOKUP($A41,Barèmes!$A$65:$A$148,Barèmes!$G$65:$G$148))*(1-(INT($D$8)+1-$D$8)),0)))</f>
        <v>0</v>
      </c>
      <c r="E41" s="151">
        <f>IF($A41&lt;$D$5+$D$4,0,IF(AND($A41&gt;=$D$5,$A41&lt;=INT($D$8)-1+$D$4),LOOKUP($A41,Retraite!$A$7:$A$47,Retraite!$N$7:$N$47)/LOOKUP($A41,Barèmes!$A$65:$A$148,Barèmes!$G$65:$G$148),IF($A41=INT($D$8+$D$4),(LOOKUP($A41,Retraite!$A$7:$A$47,Retraite!$N$7:$N$47)/LOOKUP($A41,Barèmes!$A$65:$A$148,Barèmes!$G$65:$G$148))*(1-(INT($D$8)+1-$D$8)),0)))</f>
        <v>0</v>
      </c>
      <c r="F41" s="121">
        <f>IF($A41&lt;$D$5+$D$4,LOOKUP($A41,Cot_droits!$A$17:$A$68,Cot_droits!$Q$17:$Q$68)/LOOKUP($A41,Barèmes!$A$65:$A$148,Barèmes!$G$65:$G$148),0)</f>
        <v>9343.4389004981622</v>
      </c>
      <c r="G41" s="115"/>
      <c r="H41" s="131">
        <f>IF($A41&lt;$D$5+$D$4,0,IF(AND($A41&gt;=$D$5,$A41&lt;=INT($D$8)-1+$D$4),LOOKUP($A41,Retraite!$A$7:$A$47,Retraite!$L$7:$L$47)/LOOKUP($A41,Barèmes!$A$65:$A$148,Barèmes!$G$65:$G$148),IF($A41=INT($D$8+$D$4),(LOOKUP($A41,Retraite!$A$7:$A$47,Retraite!$L$7:$L$47)/LOOKUP($A41,Barèmes!$A$65:$A$148,Barèmes!$G$65:$G$148))*(1-(INT($D$8)+1-$D$8)),0)))</f>
        <v>0</v>
      </c>
      <c r="I41" s="151">
        <f>IF($A41&lt;$D$5+$D$4,0,IF(AND($A41&gt;=$D$5,$A41&lt;=INT($D$8)-1+$D$4),LOOKUP($A41,Retraite!$A$7:$A$47,Retraite!$P$7:$P$47)/LOOKUP($A41,Barèmes!$A$65:$A$148,Barèmes!$G$65:$G$148),IF($A41=INT($D$8+$D$4),(LOOKUP($A41,Retraite!$A$7:$A$47,Retraite!$P$7:$P$47)/LOOKUP($A41,Barèmes!$A$65:$A$148,Barèmes!$G$65:$G$148))*(1-(INT($D$8)+1-$D$8)),0)))</f>
        <v>0</v>
      </c>
      <c r="J41" s="121">
        <f>IF($A41&lt;$D$5+$D$4,(LOOKUP($A41,Cot_droits!$A$17:$A$68,Cot_droits!$H$17:$H$68)+LOOKUP($A41,Cot_droits!$A$17:$A$68,Cot_droits!$L$17:$L$68))/LOOKUP($A41,Barèmes!$A$65:$A$148,Barèmes!$G$65:$G$148),0)</f>
        <v>5971.269550077137</v>
      </c>
      <c r="L41" s="131">
        <f>IF($A41&lt;$D$5+$D$4,0,IF(AND($A41&gt;=$D$5,$A41&lt;=INT($D$8)-1+$D$4),LOOKUP($A41,Retraite!$A$7:$A$47,Retraite!$M$7:$M$47)/LOOKUP($A41,Barèmes!$A$65:$A$148,Barèmes!$G$65:$G$148),IF($A41=INT($D$8+$D$4),(LOOKUP($A41,Retraite!$A$7:$A$47,Retraite!$M$7:$M$47)/LOOKUP($A41,Barèmes!$A$65:$A$148,Barèmes!$G$65:$G$148))*(1-(INT($D$8)+1-$D$8)),0)))</f>
        <v>0</v>
      </c>
      <c r="M41" s="151">
        <f>IF($A41&lt;$D$5+$D$4,0,IF(AND($A41&gt;=$D$5,$A41&lt;=INT($D$8)-1+$D$4),LOOKUP($A41,Retraite!$A$7:$A$47,Retraite!$Q$7:$Q$47)/LOOKUP($A41,Barèmes!$A$65:$A$148,Barèmes!$G$65:$G$148),IF($A41=INT($D$8+$D$4),(LOOKUP($A41,Retraite!$A$7:$A$47,Retraite!$Q$7:$Q$47)/LOOKUP($A41,Barèmes!$A$65:$A$148,Barèmes!$G$65:$G$148))*(1-(INT($D$8)+1-$D$8)),0)))</f>
        <v>0</v>
      </c>
      <c r="N41" s="121">
        <f>IF($A41&lt;$D$5+$D$4,(LOOKUP($A41,Cot_droits!$A$17:$A$68,Cot_droits!$I$17:$I$68)+LOOKUP($A41,Cot_droits!$A$17:$A$68,Cot_droits!$J$17:$J$68)+LOOKUP($A41,Cot_droits!$A$17:$A$68,Cot_droits!$N$17:$N$68))/LOOKUP($A41,Barèmes!$A$65:$A$148,Barèmes!$G$65:$G$148),0)</f>
        <v>3372.1693504210261</v>
      </c>
      <c r="O41" s="115"/>
    </row>
    <row r="42" spans="1:15" s="43" customFormat="1" ht="15.75" customHeight="1" x14ac:dyDescent="0.25">
      <c r="A42" s="148">
        <f>TRI_prix!A36</f>
        <v>2041</v>
      </c>
      <c r="B42" s="121">
        <f>Cot_droits!C41/LOOKUP($A42,Barèmes!$A$65:$A$148,Barèmes!$G$65:$G$148)</f>
        <v>33907.602136901594</v>
      </c>
      <c r="C42" s="135"/>
      <c r="D42" s="131">
        <f>IF($A42&lt;$D$5+$D$4,0,IF(AND($A42&gt;=$D$5,$A42&lt;=INT($D$8)-1+$D$4),LOOKUP($A42,Retraite!$A$7:$A$47,Retraite!$K$7:$K$47)/LOOKUP($A42,Barèmes!$A$65:$A$148,Barèmes!$G$65:$G$148),IF($A42=INT($D$8+$D$4),(LOOKUP($A42,Retraite!$A$7:$A$47,Retraite!$K$7:$K$47)/LOOKUP($A42,Barèmes!$A$65:$A$148,Barèmes!$G$65:$G$148))*(1-(INT($D$8)+1-$D$8)),0)))</f>
        <v>0</v>
      </c>
      <c r="E42" s="151">
        <f>IF($A42&lt;$D$5+$D$4,0,IF(AND($A42&gt;=$D$5,$A42&lt;=INT($D$8)-1+$D$4),LOOKUP($A42,Retraite!$A$7:$A$47,Retraite!$N$7:$N$47)/LOOKUP($A42,Barèmes!$A$65:$A$148,Barèmes!$G$65:$G$148),IF($A42=INT($D$8+$D$4),(LOOKUP($A42,Retraite!$A$7:$A$47,Retraite!$N$7:$N$47)/LOOKUP($A42,Barèmes!$A$65:$A$148,Barèmes!$G$65:$G$148))*(1-(INT($D$8)+1-$D$8)),0)))</f>
        <v>0</v>
      </c>
      <c r="F42" s="121">
        <f>IF($A42&lt;$D$5+$D$4,LOOKUP($A42,Cot_droits!$A$17:$A$68,Cot_droits!$Q$17:$Q$68)/LOOKUP($A42,Barèmes!$A$65:$A$148,Barèmes!$G$65:$G$148),0)</f>
        <v>9417.4974175030493</v>
      </c>
      <c r="G42" s="115"/>
      <c r="H42" s="131">
        <f>IF($A42&lt;$D$5+$D$4,0,IF(AND($A42&gt;=$D$5,$A42&lt;=INT($D$8)-1+$D$4),LOOKUP($A42,Retraite!$A$7:$A$47,Retraite!$L$7:$L$47)/LOOKUP($A42,Barèmes!$A$65:$A$148,Barèmes!$G$65:$G$148),IF($A42=INT($D$8+$D$4),(LOOKUP($A42,Retraite!$A$7:$A$47,Retraite!$L$7:$L$47)/LOOKUP($A42,Barèmes!$A$65:$A$148,Barèmes!$G$65:$G$148))*(1-(INT($D$8)+1-$D$8)),0)))</f>
        <v>0</v>
      </c>
      <c r="I42" s="151">
        <f>IF($A42&lt;$D$5+$D$4,0,IF(AND($A42&gt;=$D$5,$A42&lt;=INT($D$8)-1+$D$4),LOOKUP($A42,Retraite!$A$7:$A$47,Retraite!$P$7:$P$47)/LOOKUP($A42,Barèmes!$A$65:$A$148,Barèmes!$G$65:$G$148),IF($A42=INT($D$8+$D$4),(LOOKUP($A42,Retraite!$A$7:$A$47,Retraite!$P$7:$P$47)/LOOKUP($A42,Barèmes!$A$65:$A$148,Barèmes!$G$65:$G$148))*(1-(INT($D$8)+1-$D$8)),0)))</f>
        <v>0</v>
      </c>
      <c r="J42" s="121">
        <f>IF($A42&lt;$D$5+$D$4,(LOOKUP($A42,Cot_droits!$A$17:$A$68,Cot_droits!$H$17:$H$68)+LOOKUP($A42,Cot_droits!$A$17:$A$68,Cot_droits!$L$17:$L$68))/LOOKUP($A42,Barèmes!$A$65:$A$148,Barèmes!$G$65:$G$148),0)</f>
        <v>6018.5993793000325</v>
      </c>
      <c r="L42" s="131">
        <f>IF($A42&lt;$D$5+$D$4,0,IF(AND($A42&gt;=$D$5,$A42&lt;=INT($D$8)-1+$D$4),LOOKUP($A42,Retraite!$A$7:$A$47,Retraite!$M$7:$M$47)/LOOKUP($A42,Barèmes!$A$65:$A$148,Barèmes!$G$65:$G$148),IF($A42=INT($D$8+$D$4),(LOOKUP($A42,Retraite!$A$7:$A$47,Retraite!$M$7:$M$47)/LOOKUP($A42,Barèmes!$A$65:$A$148,Barèmes!$G$65:$G$148))*(1-(INT($D$8)+1-$D$8)),0)))</f>
        <v>0</v>
      </c>
      <c r="M42" s="151">
        <f>IF($A42&lt;$D$5+$D$4,0,IF(AND($A42&gt;=$D$5,$A42&lt;=INT($D$8)-1+$D$4),LOOKUP($A42,Retraite!$A$7:$A$47,Retraite!$Q$7:$Q$47)/LOOKUP($A42,Barèmes!$A$65:$A$148,Barèmes!$G$65:$G$148),IF($A42=INT($D$8+$D$4),(LOOKUP($A42,Retraite!$A$7:$A$47,Retraite!$Q$7:$Q$47)/LOOKUP($A42,Barèmes!$A$65:$A$148,Barèmes!$G$65:$G$148))*(1-(INT($D$8)+1-$D$8)),0)))</f>
        <v>0</v>
      </c>
      <c r="N42" s="121">
        <f>IF($A42&lt;$D$5+$D$4,(LOOKUP($A42,Cot_droits!$A$17:$A$68,Cot_droits!$I$17:$I$68)+LOOKUP($A42,Cot_droits!$A$17:$A$68,Cot_droits!$J$17:$J$68)+LOOKUP($A42,Cot_droits!$A$17:$A$68,Cot_droits!$N$17:$N$68))/LOOKUP($A42,Barèmes!$A$65:$A$148,Barèmes!$G$65:$G$148),0)</f>
        <v>3398.8980382030159</v>
      </c>
      <c r="O42" s="115"/>
    </row>
    <row r="43" spans="1:15" s="43" customFormat="1" ht="15.75" customHeight="1" x14ac:dyDescent="0.25">
      <c r="A43" s="148">
        <f>TRI_prix!A37</f>
        <v>2042</v>
      </c>
      <c r="B43" s="121">
        <f>Cot_droits!C42/LOOKUP($A43,Barèmes!$A$65:$A$148,Barèmes!$G$65:$G$148)</f>
        <v>33853.14507262491</v>
      </c>
      <c r="C43" s="135"/>
      <c r="D43" s="131">
        <f>IF($A43&lt;$D$5+$D$4,0,IF(AND($A43&gt;=$D$5,$A43&lt;=INT($D$8)-1+$D$4),LOOKUP($A43,Retraite!$A$7:$A$47,Retraite!$K$7:$K$47)/LOOKUP($A43,Barèmes!$A$65:$A$148,Barèmes!$G$65:$G$148),IF($A43=INT($D$8+$D$4),(LOOKUP($A43,Retraite!$A$7:$A$47,Retraite!$K$7:$K$47)/LOOKUP($A43,Barèmes!$A$65:$A$148,Barèmes!$G$65:$G$148))*(1-(INT($D$8)+1-$D$8)),0)))</f>
        <v>0</v>
      </c>
      <c r="E43" s="151">
        <f>IF($A43&lt;$D$5+$D$4,0,IF(AND($A43&gt;=$D$5,$A43&lt;=INT($D$8)-1+$D$4),LOOKUP($A43,Retraite!$A$7:$A$47,Retraite!$N$7:$N$47)/LOOKUP($A43,Barèmes!$A$65:$A$148,Barèmes!$G$65:$G$148),IF($A43=INT($D$8+$D$4),(LOOKUP($A43,Retraite!$A$7:$A$47,Retraite!$N$7:$N$47)/LOOKUP($A43,Barèmes!$A$65:$A$148,Barèmes!$G$65:$G$148))*(1-(INT($D$8)+1-$D$8)),0)))</f>
        <v>0</v>
      </c>
      <c r="F43" s="121">
        <f>IF($A43&lt;$D$5+$D$4,LOOKUP($A43,Cot_droits!$A$17:$A$68,Cot_droits!$Q$17:$Q$68)/LOOKUP($A43,Barèmes!$A$65:$A$148,Barèmes!$G$65:$G$148),0)</f>
        <v>9402.3725124708435</v>
      </c>
      <c r="G43" s="115"/>
      <c r="H43" s="131">
        <f>IF($A43&lt;$D$5+$D$4,0,IF(AND($A43&gt;=$D$5,$A43&lt;=INT($D$8)-1+$D$4),LOOKUP($A43,Retraite!$A$7:$A$47,Retraite!$L$7:$L$47)/LOOKUP($A43,Barèmes!$A$65:$A$148,Barèmes!$G$65:$G$148),IF($A43=INT($D$8+$D$4),(LOOKUP($A43,Retraite!$A$7:$A$47,Retraite!$L$7:$L$47)/LOOKUP($A43,Barèmes!$A$65:$A$148,Barèmes!$G$65:$G$148))*(1-(INT($D$8)+1-$D$8)),0)))</f>
        <v>0</v>
      </c>
      <c r="I43" s="151">
        <f>IF($A43&lt;$D$5+$D$4,0,IF(AND($A43&gt;=$D$5,$A43&lt;=INT($D$8)-1+$D$4),LOOKUP($A43,Retraite!$A$7:$A$47,Retraite!$P$7:$P$47)/LOOKUP($A43,Barèmes!$A$65:$A$148,Barèmes!$G$65:$G$148),IF($A43=INT($D$8+$D$4),(LOOKUP($A43,Retraite!$A$7:$A$47,Retraite!$P$7:$P$47)/LOOKUP($A43,Barèmes!$A$65:$A$148,Barèmes!$G$65:$G$148))*(1-(INT($D$8)+1-$D$8)),0)))</f>
        <v>0</v>
      </c>
      <c r="J43" s="121">
        <f>IF($A43&lt;$D$5+$D$4,(LOOKUP($A43,Cot_droits!$A$17:$A$68,Cot_droits!$H$17:$H$68)+LOOKUP($A43,Cot_droits!$A$17:$A$68,Cot_droits!$L$17:$L$68))/LOOKUP($A43,Barèmes!$A$65:$A$148,Barèmes!$G$65:$G$148),0)</f>
        <v>6008.9332503909218</v>
      </c>
      <c r="L43" s="131">
        <f>IF($A43&lt;$D$5+$D$4,0,IF(AND($A43&gt;=$D$5,$A43&lt;=INT($D$8)-1+$D$4),LOOKUP($A43,Retraite!$A$7:$A$47,Retraite!$M$7:$M$47)/LOOKUP($A43,Barèmes!$A$65:$A$148,Barèmes!$G$65:$G$148),IF($A43=INT($D$8+$D$4),(LOOKUP($A43,Retraite!$A$7:$A$47,Retraite!$M$7:$M$47)/LOOKUP($A43,Barèmes!$A$65:$A$148,Barèmes!$G$65:$G$148))*(1-(INT($D$8)+1-$D$8)),0)))</f>
        <v>0</v>
      </c>
      <c r="M43" s="151">
        <f>IF($A43&lt;$D$5+$D$4,0,IF(AND($A43&gt;=$D$5,$A43&lt;=INT($D$8)-1+$D$4),LOOKUP($A43,Retraite!$A$7:$A$47,Retraite!$Q$7:$Q$47)/LOOKUP($A43,Barèmes!$A$65:$A$148,Barèmes!$G$65:$G$148),IF($A43=INT($D$8+$D$4),(LOOKUP($A43,Retraite!$A$7:$A$47,Retraite!$Q$7:$Q$47)/LOOKUP($A43,Barèmes!$A$65:$A$148,Barèmes!$G$65:$G$148))*(1-(INT($D$8)+1-$D$8)),0)))</f>
        <v>0</v>
      </c>
      <c r="N43" s="121">
        <f>IF($A43&lt;$D$5+$D$4,(LOOKUP($A43,Cot_droits!$A$17:$A$68,Cot_droits!$I$17:$I$68)+LOOKUP($A43,Cot_droits!$A$17:$A$68,Cot_droits!$J$17:$J$68)+LOOKUP($A43,Cot_droits!$A$17:$A$68,Cot_droits!$N$17:$N$68))/LOOKUP($A43,Barèmes!$A$65:$A$148,Barèmes!$G$65:$G$148),0)</f>
        <v>3393.4392620799217</v>
      </c>
      <c r="O43" s="115"/>
    </row>
    <row r="44" spans="1:15" s="43" customFormat="1" ht="15.75" customHeight="1" x14ac:dyDescent="0.25">
      <c r="A44" s="148">
        <f>TRI_prix!A38</f>
        <v>2043</v>
      </c>
      <c r="B44" s="121">
        <f>Cot_droits!C43/LOOKUP($A44,Barèmes!$A$65:$A$148,Barèmes!$G$65:$G$148)</f>
        <v>33975.972009865443</v>
      </c>
      <c r="C44" s="135"/>
      <c r="D44" s="131">
        <f>IF($A44&lt;$D$5+$D$4,0,IF(AND($A44&gt;=$D$5,$A44&lt;=INT($D$8)-1+$D$4),LOOKUP($A44,Retraite!$A$7:$A$47,Retraite!$K$7:$K$47)/LOOKUP($A44,Barèmes!$A$65:$A$148,Barèmes!$G$65:$G$148),IF($A44=INT($D$8+$D$4),(LOOKUP($A44,Retraite!$A$7:$A$47,Retraite!$K$7:$K$47)/LOOKUP($A44,Barèmes!$A$65:$A$148,Barèmes!$G$65:$G$148))*(1-(INT($D$8)+1-$D$8)),0)))</f>
        <v>0</v>
      </c>
      <c r="E44" s="151">
        <f>IF($A44&lt;$D$5+$D$4,0,IF(AND($A44&gt;=$D$5,$A44&lt;=INT($D$8)-1+$D$4),LOOKUP($A44,Retraite!$A$7:$A$47,Retraite!$N$7:$N$47)/LOOKUP($A44,Barèmes!$A$65:$A$148,Barèmes!$G$65:$G$148),IF($A44=INT($D$8+$D$4),(LOOKUP($A44,Retraite!$A$7:$A$47,Retraite!$N$7:$N$47)/LOOKUP($A44,Barèmes!$A$65:$A$148,Barèmes!$G$65:$G$148))*(1-(INT($D$8)+1-$D$8)),0)))</f>
        <v>0</v>
      </c>
      <c r="F44" s="121">
        <f>IF($A44&lt;$D$5+$D$4,LOOKUP($A44,Cot_droits!$A$17:$A$68,Cot_droits!$Q$17:$Q$68)/LOOKUP($A44,Barèmes!$A$65:$A$148,Barèmes!$G$65:$G$148),0)</f>
        <v>9436.4864660200274</v>
      </c>
      <c r="G44" s="115"/>
      <c r="H44" s="131">
        <f>IF($A44&lt;$D$5+$D$4,0,IF(AND($A44&gt;=$D$5,$A44&lt;=INT($D$8)-1+$D$4),LOOKUP($A44,Retraite!$A$7:$A$47,Retraite!$L$7:$L$47)/LOOKUP($A44,Barèmes!$A$65:$A$148,Barèmes!$G$65:$G$148),IF($A44=INT($D$8+$D$4),(LOOKUP($A44,Retraite!$A$7:$A$47,Retraite!$L$7:$L$47)/LOOKUP($A44,Barèmes!$A$65:$A$148,Barèmes!$G$65:$G$148))*(1-(INT($D$8)+1-$D$8)),0)))</f>
        <v>0</v>
      </c>
      <c r="I44" s="151">
        <f>IF($A44&lt;$D$5+$D$4,0,IF(AND($A44&gt;=$D$5,$A44&lt;=INT($D$8)-1+$D$4),LOOKUP($A44,Retraite!$A$7:$A$47,Retraite!$P$7:$P$47)/LOOKUP($A44,Barèmes!$A$65:$A$148,Barèmes!$G$65:$G$148),IF($A44=INT($D$8+$D$4),(LOOKUP($A44,Retraite!$A$7:$A$47,Retraite!$P$7:$P$47)/LOOKUP($A44,Barèmes!$A$65:$A$148,Barèmes!$G$65:$G$148))*(1-(INT($D$8)+1-$D$8)),0)))</f>
        <v>0</v>
      </c>
      <c r="J44" s="121">
        <f>IF($A44&lt;$D$5+$D$4,(LOOKUP($A44,Cot_droits!$A$17:$A$68,Cot_droits!$H$17:$H$68)+LOOKUP($A44,Cot_droits!$A$17:$A$68,Cot_droits!$L$17:$L$68))/LOOKUP($A44,Barèmes!$A$65:$A$148,Barèmes!$G$65:$G$148),0)</f>
        <v>6030.7350317511155</v>
      </c>
      <c r="L44" s="131">
        <f>IF($A44&lt;$D$5+$D$4,0,IF(AND($A44&gt;=$D$5,$A44&lt;=INT($D$8)-1+$D$4),LOOKUP($A44,Retraite!$A$7:$A$47,Retraite!$M$7:$M$47)/LOOKUP($A44,Barèmes!$A$65:$A$148,Barèmes!$G$65:$G$148),IF($A44=INT($D$8+$D$4),(LOOKUP($A44,Retraite!$A$7:$A$47,Retraite!$M$7:$M$47)/LOOKUP($A44,Barèmes!$A$65:$A$148,Barèmes!$G$65:$G$148))*(1-(INT($D$8)+1-$D$8)),0)))</f>
        <v>0</v>
      </c>
      <c r="M44" s="151">
        <f>IF($A44&lt;$D$5+$D$4,0,IF(AND($A44&gt;=$D$5,$A44&lt;=INT($D$8)-1+$D$4),LOOKUP($A44,Retraite!$A$7:$A$47,Retraite!$Q$7:$Q$47)/LOOKUP($A44,Barèmes!$A$65:$A$148,Barèmes!$G$65:$G$148),IF($A44=INT($D$8+$D$4),(LOOKUP($A44,Retraite!$A$7:$A$47,Retraite!$Q$7:$Q$47)/LOOKUP($A44,Barèmes!$A$65:$A$148,Barèmes!$G$65:$G$148))*(1-(INT($D$8)+1-$D$8)),0)))</f>
        <v>0</v>
      </c>
      <c r="N44" s="121">
        <f>IF($A44&lt;$D$5+$D$4,(LOOKUP($A44,Cot_droits!$A$17:$A$68,Cot_droits!$I$17:$I$68)+LOOKUP($A44,Cot_droits!$A$17:$A$68,Cot_droits!$J$17:$J$68)+LOOKUP($A44,Cot_droits!$A$17:$A$68,Cot_droits!$N$17:$N$68))/LOOKUP($A44,Barèmes!$A$65:$A$148,Barèmes!$G$65:$G$148),0)</f>
        <v>3405.7514342689124</v>
      </c>
      <c r="O44" s="115"/>
    </row>
    <row r="45" spans="1:15" s="43" customFormat="1" ht="15.75" customHeight="1" x14ac:dyDescent="0.25">
      <c r="A45" s="148">
        <f>TRI_prix!A39</f>
        <v>2044</v>
      </c>
      <c r="B45" s="121">
        <f>Cot_droits!C44/LOOKUP($A45,Barèmes!$A$65:$A$148,Barèmes!$G$65:$G$148)</f>
        <v>33978.646296829938</v>
      </c>
      <c r="C45" s="135"/>
      <c r="D45" s="131">
        <f>IF($A45&lt;$D$5+$D$4,0,IF(AND($A45&gt;=$D$5,$A45&lt;=INT($D$8)-1+$D$4),LOOKUP($A45,Retraite!$A$7:$A$47,Retraite!$K$7:$K$47)/LOOKUP($A45,Barèmes!$A$65:$A$148,Barèmes!$G$65:$G$148),IF($A45=INT($D$8+$D$4),(LOOKUP($A45,Retraite!$A$7:$A$47,Retraite!$K$7:$K$47)/LOOKUP($A45,Barèmes!$A$65:$A$148,Barèmes!$G$65:$G$148))*(1-(INT($D$8)+1-$D$8)),0)))</f>
        <v>0</v>
      </c>
      <c r="E45" s="151">
        <f>IF($A45&lt;$D$5+$D$4,0,IF(AND($A45&gt;=$D$5,$A45&lt;=INT($D$8)-1+$D$4),LOOKUP($A45,Retraite!$A$7:$A$47,Retraite!$N$7:$N$47)/LOOKUP($A45,Barèmes!$A$65:$A$148,Barèmes!$G$65:$G$148),IF($A45=INT($D$8+$D$4),(LOOKUP($A45,Retraite!$A$7:$A$47,Retraite!$N$7:$N$47)/LOOKUP($A45,Barèmes!$A$65:$A$148,Barèmes!$G$65:$G$148))*(1-(INT($D$8)+1-$D$8)),0)))</f>
        <v>0</v>
      </c>
      <c r="F45" s="121">
        <f>IF($A45&lt;$D$5+$D$4,LOOKUP($A45,Cot_droits!$A$17:$A$68,Cot_droits!$Q$17:$Q$68)/LOOKUP($A45,Barèmes!$A$65:$A$148,Barèmes!$G$65:$G$148),0)</f>
        <v>9437.2292224815465</v>
      </c>
      <c r="G45" s="115"/>
      <c r="H45" s="131">
        <f>IF($A45&lt;$D$5+$D$4,0,IF(AND($A45&gt;=$D$5,$A45&lt;=INT($D$8)-1+$D$4),LOOKUP($A45,Retraite!$A$7:$A$47,Retraite!$L$7:$L$47)/LOOKUP($A45,Barèmes!$A$65:$A$148,Barèmes!$G$65:$G$148),IF($A45=INT($D$8+$D$4),(LOOKUP($A45,Retraite!$A$7:$A$47,Retraite!$L$7:$L$47)/LOOKUP($A45,Barèmes!$A$65:$A$148,Barèmes!$G$65:$G$148))*(1-(INT($D$8)+1-$D$8)),0)))</f>
        <v>0</v>
      </c>
      <c r="I45" s="151">
        <f>IF($A45&lt;$D$5+$D$4,0,IF(AND($A45&gt;=$D$5,$A45&lt;=INT($D$8)-1+$D$4),LOOKUP($A45,Retraite!$A$7:$A$47,Retraite!$P$7:$P$47)/LOOKUP($A45,Barèmes!$A$65:$A$148,Barèmes!$G$65:$G$148),IF($A45=INT($D$8+$D$4),(LOOKUP($A45,Retraite!$A$7:$A$47,Retraite!$P$7:$P$47)/LOOKUP($A45,Barèmes!$A$65:$A$148,Barèmes!$G$65:$G$148))*(1-(INT($D$8)+1-$D$8)),0)))</f>
        <v>0</v>
      </c>
      <c r="J45" s="121">
        <f>IF($A45&lt;$D$5+$D$4,(LOOKUP($A45,Cot_droits!$A$17:$A$68,Cot_droits!$H$17:$H$68)+LOOKUP($A45,Cot_droits!$A$17:$A$68,Cot_droits!$L$17:$L$68))/LOOKUP($A45,Barèmes!$A$65:$A$148,Barèmes!$G$65:$G$148),0)</f>
        <v>6031.209717687314</v>
      </c>
      <c r="L45" s="131">
        <f>IF($A45&lt;$D$5+$D$4,0,IF(AND($A45&gt;=$D$5,$A45&lt;=INT($D$8)-1+$D$4),LOOKUP($A45,Retraite!$A$7:$A$47,Retraite!$M$7:$M$47)/LOOKUP($A45,Barèmes!$A$65:$A$148,Barèmes!$G$65:$G$148),IF($A45=INT($D$8+$D$4),(LOOKUP($A45,Retraite!$A$7:$A$47,Retraite!$M$7:$M$47)/LOOKUP($A45,Barèmes!$A$65:$A$148,Barèmes!$G$65:$G$148))*(1-(INT($D$8)+1-$D$8)),0)))</f>
        <v>0</v>
      </c>
      <c r="M45" s="151">
        <f>IF($A45&lt;$D$5+$D$4,0,IF(AND($A45&gt;=$D$5,$A45&lt;=INT($D$8)-1+$D$4),LOOKUP($A45,Retraite!$A$7:$A$47,Retraite!$Q$7:$Q$47)/LOOKUP($A45,Barèmes!$A$65:$A$148,Barèmes!$G$65:$G$148),IF($A45=INT($D$8+$D$4),(LOOKUP($A45,Retraite!$A$7:$A$47,Retraite!$Q$7:$Q$47)/LOOKUP($A45,Barèmes!$A$65:$A$148,Barèmes!$G$65:$G$148))*(1-(INT($D$8)+1-$D$8)),0)))</f>
        <v>0</v>
      </c>
      <c r="N45" s="121">
        <f>IF($A45&lt;$D$5+$D$4,(LOOKUP($A45,Cot_droits!$A$17:$A$68,Cot_droits!$I$17:$I$68)+LOOKUP($A45,Cot_droits!$A$17:$A$68,Cot_droits!$J$17:$J$68)+LOOKUP($A45,Cot_droits!$A$17:$A$68,Cot_droits!$N$17:$N$68))/LOOKUP($A45,Barèmes!$A$65:$A$148,Barèmes!$G$65:$G$148),0)</f>
        <v>3406.0195047942334</v>
      </c>
      <c r="O45" s="115"/>
    </row>
    <row r="46" spans="1:15" s="43" customFormat="1" ht="15.75" customHeight="1" x14ac:dyDescent="0.25">
      <c r="A46" s="148">
        <f>TRI_prix!A40</f>
        <v>2045</v>
      </c>
      <c r="B46" s="121">
        <f>Cot_droits!C45/LOOKUP($A46,Barèmes!$A$65:$A$148,Barèmes!$G$65:$G$148)</f>
        <v>34069.611918208633</v>
      </c>
      <c r="C46" s="135"/>
      <c r="D46" s="131">
        <f>IF($A46&lt;$D$5+$D$4,0,IF(AND($A46&gt;=$D$5,$A46&lt;=INT($D$8)-1+$D$4),LOOKUP($A46,Retraite!$A$7:$A$47,Retraite!$K$7:$K$47)/LOOKUP($A46,Barèmes!$A$65:$A$148,Barèmes!$G$65:$G$148),IF($A46=INT($D$8+$D$4),(LOOKUP($A46,Retraite!$A$7:$A$47,Retraite!$K$7:$K$47)/LOOKUP($A46,Barèmes!$A$65:$A$148,Barèmes!$G$65:$G$148))*(1-(INT($D$8)+1-$D$8)),0)))</f>
        <v>0</v>
      </c>
      <c r="E46" s="151">
        <f>IF($A46&lt;$D$5+$D$4,0,IF(AND($A46&gt;=$D$5,$A46&lt;=INT($D$8)-1+$D$4),LOOKUP($A46,Retraite!$A$7:$A$47,Retraite!$N$7:$N$47)/LOOKUP($A46,Barèmes!$A$65:$A$148,Barèmes!$G$65:$G$148),IF($A46=INT($D$8+$D$4),(LOOKUP($A46,Retraite!$A$7:$A$47,Retraite!$N$7:$N$47)/LOOKUP($A46,Barèmes!$A$65:$A$148,Barèmes!$G$65:$G$148))*(1-(INT($D$8)+1-$D$8)),0)))</f>
        <v>0</v>
      </c>
      <c r="F46" s="121">
        <f>IF($A46&lt;$D$5+$D$4,LOOKUP($A46,Cot_droits!$A$17:$A$68,Cot_droits!$Q$17:$Q$68)/LOOKUP($A46,Barèmes!$A$65:$A$148,Barèmes!$G$65:$G$148),0)</f>
        <v>9462.4940141632651</v>
      </c>
      <c r="G46" s="115"/>
      <c r="H46" s="131">
        <f>IF($A46&lt;$D$5+$D$4,0,IF(AND($A46&gt;=$D$5,$A46&lt;=INT($D$8)-1+$D$4),LOOKUP($A46,Retraite!$A$7:$A$47,Retraite!$L$7:$L$47)/LOOKUP($A46,Barèmes!$A$65:$A$148,Barèmes!$G$65:$G$148),IF($A46=INT($D$8+$D$4),(LOOKUP($A46,Retraite!$A$7:$A$47,Retraite!$L$7:$L$47)/LOOKUP($A46,Barèmes!$A$65:$A$148,Barèmes!$G$65:$G$148))*(1-(INT($D$8)+1-$D$8)),0)))</f>
        <v>0</v>
      </c>
      <c r="I46" s="151">
        <f>IF($A46&lt;$D$5+$D$4,0,IF(AND($A46&gt;=$D$5,$A46&lt;=INT($D$8)-1+$D$4),LOOKUP($A46,Retraite!$A$7:$A$47,Retraite!$P$7:$P$47)/LOOKUP($A46,Barèmes!$A$65:$A$148,Barèmes!$G$65:$G$148),IF($A46=INT($D$8+$D$4),(LOOKUP($A46,Retraite!$A$7:$A$47,Retraite!$P$7:$P$47)/LOOKUP($A46,Barèmes!$A$65:$A$148,Barèmes!$G$65:$G$148))*(1-(INT($D$8)+1-$D$8)),0)))</f>
        <v>0</v>
      </c>
      <c r="J46" s="121">
        <f>IF($A46&lt;$D$5+$D$4,(LOOKUP($A46,Cot_droits!$A$17:$A$68,Cot_droits!$H$17:$H$68)+LOOKUP($A46,Cot_droits!$A$17:$A$68,Cot_droits!$L$17:$L$68))/LOOKUP($A46,Barèmes!$A$65:$A$148,Barèmes!$G$65:$G$148),0)</f>
        <v>6047.3561154820318</v>
      </c>
      <c r="L46" s="131">
        <f>IF($A46&lt;$D$5+$D$4,0,IF(AND($A46&gt;=$D$5,$A46&lt;=INT($D$8)-1+$D$4),LOOKUP($A46,Retraite!$A$7:$A$47,Retraite!$M$7:$M$47)/LOOKUP($A46,Barèmes!$A$65:$A$148,Barèmes!$G$65:$G$148),IF($A46=INT($D$8+$D$4),(LOOKUP($A46,Retraite!$A$7:$A$47,Retraite!$M$7:$M$47)/LOOKUP($A46,Barèmes!$A$65:$A$148,Barèmes!$G$65:$G$148))*(1-(INT($D$8)+1-$D$8)),0)))</f>
        <v>0</v>
      </c>
      <c r="M46" s="151">
        <f>IF($A46&lt;$D$5+$D$4,0,IF(AND($A46&gt;=$D$5,$A46&lt;=INT($D$8)-1+$D$4),LOOKUP($A46,Retraite!$A$7:$A$47,Retraite!$Q$7:$Q$47)/LOOKUP($A46,Barèmes!$A$65:$A$148,Barèmes!$G$65:$G$148),IF($A46=INT($D$8+$D$4),(LOOKUP($A46,Retraite!$A$7:$A$47,Retraite!$Q$7:$Q$47)/LOOKUP($A46,Barèmes!$A$65:$A$148,Barèmes!$G$65:$G$148))*(1-(INT($D$8)+1-$D$8)),0)))</f>
        <v>0</v>
      </c>
      <c r="N46" s="121">
        <f>IF($A46&lt;$D$5+$D$4,(LOOKUP($A46,Cot_droits!$A$17:$A$68,Cot_droits!$I$17:$I$68)+LOOKUP($A46,Cot_droits!$A$17:$A$68,Cot_droits!$J$17:$J$68)+LOOKUP($A46,Cot_droits!$A$17:$A$68,Cot_droits!$N$17:$N$68))/LOOKUP($A46,Barèmes!$A$65:$A$148,Barèmes!$G$65:$G$148),0)</f>
        <v>3415.1378986812329</v>
      </c>
      <c r="O46" s="115"/>
    </row>
    <row r="47" spans="1:15" s="43" customFormat="1" ht="15.75" customHeight="1" x14ac:dyDescent="0.25">
      <c r="A47" s="148">
        <f>TRI_prix!A41</f>
        <v>2046</v>
      </c>
      <c r="B47" s="121">
        <f>Cot_droits!C46/LOOKUP($A47,Barèmes!$A$65:$A$148,Barèmes!$G$65:$G$148)</f>
        <v>34191.887978210907</v>
      </c>
      <c r="C47" s="135"/>
      <c r="D47" s="131">
        <f>IF($A47&lt;$D$5+$D$4,0,IF(AND($A47&gt;=$D$5,$A47&lt;=INT($D$8)-1+$D$4),LOOKUP($A47,Retraite!$A$7:$A$47,Retraite!$K$7:$K$47)/LOOKUP($A47,Barèmes!$A$65:$A$148,Barèmes!$G$65:$G$148),IF($A47=INT($D$8+$D$4),(LOOKUP($A47,Retraite!$A$7:$A$47,Retraite!$K$7:$K$47)/LOOKUP($A47,Barèmes!$A$65:$A$148,Barèmes!$G$65:$G$148))*(1-(INT($D$8)+1-$D$8)),0)))</f>
        <v>0</v>
      </c>
      <c r="E47" s="151">
        <f>IF($A47&lt;$D$5+$D$4,0,IF(AND($A47&gt;=$D$5,$A47&lt;=INT($D$8)-1+$D$4),LOOKUP($A47,Retraite!$A$7:$A$47,Retraite!$N$7:$N$47)/LOOKUP($A47,Barèmes!$A$65:$A$148,Barèmes!$G$65:$G$148),IF($A47=INT($D$8+$D$4),(LOOKUP($A47,Retraite!$A$7:$A$47,Retraite!$N$7:$N$47)/LOOKUP($A47,Barèmes!$A$65:$A$148,Barèmes!$G$65:$G$148))*(1-(INT($D$8)+1-$D$8)),0)))</f>
        <v>0</v>
      </c>
      <c r="F47" s="121">
        <f>IF($A47&lt;$D$5+$D$4,LOOKUP($A47,Cot_droits!$A$17:$A$68,Cot_droits!$Q$17:$Q$68)/LOOKUP($A47,Barèmes!$A$65:$A$148,Barèmes!$G$65:$G$148),0)</f>
        <v>9496.4549670682991</v>
      </c>
      <c r="G47" s="115"/>
      <c r="H47" s="131">
        <f>IF($A47&lt;$D$5+$D$4,0,IF(AND($A47&gt;=$D$5,$A47&lt;=INT($D$8)-1+$D$4),LOOKUP($A47,Retraite!$A$7:$A$47,Retraite!$L$7:$L$47)/LOOKUP($A47,Barèmes!$A$65:$A$148,Barèmes!$G$65:$G$148),IF($A47=INT($D$8+$D$4),(LOOKUP($A47,Retraite!$A$7:$A$47,Retraite!$L$7:$L$47)/LOOKUP($A47,Barèmes!$A$65:$A$148,Barèmes!$G$65:$G$148))*(1-(INT($D$8)+1-$D$8)),0)))</f>
        <v>0</v>
      </c>
      <c r="I47" s="151">
        <f>IF($A47&lt;$D$5+$D$4,0,IF(AND($A47&gt;=$D$5,$A47&lt;=INT($D$8)-1+$D$4),LOOKUP($A47,Retraite!$A$7:$A$47,Retraite!$P$7:$P$47)/LOOKUP($A47,Barèmes!$A$65:$A$148,Barèmes!$G$65:$G$148),IF($A47=INT($D$8+$D$4),(LOOKUP($A47,Retraite!$A$7:$A$47,Retraite!$P$7:$P$47)/LOOKUP($A47,Barèmes!$A$65:$A$148,Barèmes!$G$65:$G$148))*(1-(INT($D$8)+1-$D$8)),0)))</f>
        <v>0</v>
      </c>
      <c r="J47" s="121">
        <f>IF($A47&lt;$D$5+$D$4,(LOOKUP($A47,Cot_droits!$A$17:$A$68,Cot_droits!$H$17:$H$68)+LOOKUP($A47,Cot_droits!$A$17:$A$68,Cot_droits!$L$17:$L$68))/LOOKUP($A47,Barèmes!$A$65:$A$148,Barèmes!$G$65:$G$148),0)</f>
        <v>6069.0601161324357</v>
      </c>
      <c r="L47" s="131">
        <f>IF($A47&lt;$D$5+$D$4,0,IF(AND($A47&gt;=$D$5,$A47&lt;=INT($D$8)-1+$D$4),LOOKUP($A47,Retraite!$A$7:$A$47,Retraite!$M$7:$M$47)/LOOKUP($A47,Barèmes!$A$65:$A$148,Barèmes!$G$65:$G$148),IF($A47=INT($D$8+$D$4),(LOOKUP($A47,Retraite!$A$7:$A$47,Retraite!$M$7:$M$47)/LOOKUP($A47,Barèmes!$A$65:$A$148,Barèmes!$G$65:$G$148))*(1-(INT($D$8)+1-$D$8)),0)))</f>
        <v>0</v>
      </c>
      <c r="M47" s="151">
        <f>IF($A47&lt;$D$5+$D$4,0,IF(AND($A47&gt;=$D$5,$A47&lt;=INT($D$8)-1+$D$4),LOOKUP($A47,Retraite!$A$7:$A$47,Retraite!$Q$7:$Q$47)/LOOKUP($A47,Barèmes!$A$65:$A$148,Barèmes!$G$65:$G$148),IF($A47=INT($D$8+$D$4),(LOOKUP($A47,Retraite!$A$7:$A$47,Retraite!$Q$7:$Q$47)/LOOKUP($A47,Barèmes!$A$65:$A$148,Barèmes!$G$65:$G$148))*(1-(INT($D$8)+1-$D$8)),0)))</f>
        <v>0</v>
      </c>
      <c r="N47" s="121">
        <f>IF($A47&lt;$D$5+$D$4,(LOOKUP($A47,Cot_droits!$A$17:$A$68,Cot_droits!$I$17:$I$68)+LOOKUP($A47,Cot_droits!$A$17:$A$68,Cot_droits!$J$17:$J$68)+LOOKUP($A47,Cot_droits!$A$17:$A$68,Cot_droits!$N$17:$N$68))/LOOKUP($A47,Barèmes!$A$65:$A$148,Barèmes!$G$65:$G$148),0)</f>
        <v>3427.3948509358615</v>
      </c>
      <c r="O47" s="115"/>
    </row>
    <row r="48" spans="1:15" s="43" customFormat="1" ht="15.75" customHeight="1" x14ac:dyDescent="0.25">
      <c r="A48" s="148">
        <f>TRI_prix!A42</f>
        <v>2047</v>
      </c>
      <c r="B48" s="121">
        <f>Cot_droits!C47/LOOKUP($A48,Barèmes!$A$65:$A$148,Barèmes!$G$65:$G$148)</f>
        <v>34354.930108461631</v>
      </c>
      <c r="C48" s="135"/>
      <c r="D48" s="131">
        <f>IF($A48&lt;$D$5+$D$4,0,IF(AND($A48&gt;=$D$5,$A48&lt;=INT($D$8)-1+$D$4),LOOKUP($A48,Retraite!$A$7:$A$47,Retraite!$K$7:$K$47)/LOOKUP($A48,Barèmes!$A$65:$A$148,Barèmes!$G$65:$G$148),IF($A48=INT($D$8+$D$4),(LOOKUP($A48,Retraite!$A$7:$A$47,Retraite!$K$7:$K$47)/LOOKUP($A48,Barèmes!$A$65:$A$148,Barèmes!$G$65:$G$148))*(1-(INT($D$8)+1-$D$8)),0)))</f>
        <v>0</v>
      </c>
      <c r="E48" s="151">
        <f>IF($A48&lt;$D$5+$D$4,0,IF(AND($A48&gt;=$D$5,$A48&lt;=INT($D$8)-1+$D$4),LOOKUP($A48,Retraite!$A$7:$A$47,Retraite!$N$7:$N$47)/LOOKUP($A48,Barèmes!$A$65:$A$148,Barèmes!$G$65:$G$148),IF($A48=INT($D$8+$D$4),(LOOKUP($A48,Retraite!$A$7:$A$47,Retraite!$N$7:$N$47)/LOOKUP($A48,Barèmes!$A$65:$A$148,Barèmes!$G$65:$G$148))*(1-(INT($D$8)+1-$D$8)),0)))</f>
        <v>0</v>
      </c>
      <c r="F48" s="121">
        <f>IF($A48&lt;$D$5+$D$4,LOOKUP($A48,Cot_droits!$A$17:$A$68,Cot_droits!$Q$17:$Q$68)/LOOKUP($A48,Barèmes!$A$65:$A$148,Barèmes!$G$65:$G$148),0)</f>
        <v>9541.7382883241353</v>
      </c>
      <c r="G48" s="115"/>
      <c r="H48" s="131">
        <f>IF($A48&lt;$D$5+$D$4,0,IF(AND($A48&gt;=$D$5,$A48&lt;=INT($D$8)-1+$D$4),LOOKUP($A48,Retraite!$A$7:$A$47,Retraite!$L$7:$L$47)/LOOKUP($A48,Barèmes!$A$65:$A$148,Barèmes!$G$65:$G$148),IF($A48=INT($D$8+$D$4),(LOOKUP($A48,Retraite!$A$7:$A$47,Retraite!$L$7:$L$47)/LOOKUP($A48,Barèmes!$A$65:$A$148,Barèmes!$G$65:$G$148))*(1-(INT($D$8)+1-$D$8)),0)))</f>
        <v>0</v>
      </c>
      <c r="I48" s="151">
        <f>IF($A48&lt;$D$5+$D$4,0,IF(AND($A48&gt;=$D$5,$A48&lt;=INT($D$8)-1+$D$4),LOOKUP($A48,Retraite!$A$7:$A$47,Retraite!$P$7:$P$47)/LOOKUP($A48,Barèmes!$A$65:$A$148,Barèmes!$G$65:$G$148),IF($A48=INT($D$8+$D$4),(LOOKUP($A48,Retraite!$A$7:$A$47,Retraite!$P$7:$P$47)/LOOKUP($A48,Barèmes!$A$65:$A$148,Barèmes!$G$65:$G$148))*(1-(INT($D$8)+1-$D$8)),0)))</f>
        <v>0</v>
      </c>
      <c r="J48" s="121">
        <f>IF($A48&lt;$D$5+$D$4,(LOOKUP($A48,Cot_droits!$A$17:$A$68,Cot_droits!$H$17:$H$68)+LOOKUP($A48,Cot_droits!$A$17:$A$68,Cot_droits!$L$17:$L$68))/LOOKUP($A48,Barèmes!$A$65:$A$148,Barèmes!$G$65:$G$148),0)</f>
        <v>6098.00009425194</v>
      </c>
      <c r="L48" s="131">
        <f>IF($A48&lt;$D$5+$D$4,0,IF(AND($A48&gt;=$D$5,$A48&lt;=INT($D$8)-1+$D$4),LOOKUP($A48,Retraite!$A$7:$A$47,Retraite!$M$7:$M$47)/LOOKUP($A48,Barèmes!$A$65:$A$148,Barèmes!$G$65:$G$148),IF($A48=INT($D$8+$D$4),(LOOKUP($A48,Retraite!$A$7:$A$47,Retraite!$M$7:$M$47)/LOOKUP($A48,Barèmes!$A$65:$A$148,Barèmes!$G$65:$G$148))*(1-(INT($D$8)+1-$D$8)),0)))</f>
        <v>0</v>
      </c>
      <c r="M48" s="151">
        <f>IF($A48&lt;$D$5+$D$4,0,IF(AND($A48&gt;=$D$5,$A48&lt;=INT($D$8)-1+$D$4),LOOKUP($A48,Retraite!$A$7:$A$47,Retraite!$Q$7:$Q$47)/LOOKUP($A48,Barèmes!$A$65:$A$148,Barèmes!$G$65:$G$148),IF($A48=INT($D$8+$D$4),(LOOKUP($A48,Retraite!$A$7:$A$47,Retraite!$Q$7:$Q$47)/LOOKUP($A48,Barèmes!$A$65:$A$148,Barèmes!$G$65:$G$148))*(1-(INT($D$8)+1-$D$8)),0)))</f>
        <v>0</v>
      </c>
      <c r="N48" s="121">
        <f>IF($A48&lt;$D$5+$D$4,(LOOKUP($A48,Cot_droits!$A$17:$A$68,Cot_droits!$I$17:$I$68)+LOOKUP($A48,Cot_droits!$A$17:$A$68,Cot_droits!$J$17:$J$68)+LOOKUP($A48,Cot_droits!$A$17:$A$68,Cot_droits!$N$17:$N$68))/LOOKUP($A48,Barèmes!$A$65:$A$148,Barèmes!$G$65:$G$148),0)</f>
        <v>3443.7381940721943</v>
      </c>
      <c r="O48" s="115"/>
    </row>
    <row r="49" spans="1:15" s="43" customFormat="1" ht="15.75" customHeight="1" x14ac:dyDescent="0.25">
      <c r="A49" s="148">
        <f>TRI_prix!A43</f>
        <v>2048</v>
      </c>
      <c r="B49" s="121">
        <f>Cot_droits!C48/LOOKUP($A49,Barèmes!$A$65:$A$148,Barèmes!$G$65:$G$148)</f>
        <v>34943.349303331204</v>
      </c>
      <c r="C49" s="135"/>
      <c r="D49" s="131">
        <f>IF($A49&lt;$D$5+$D$4,0,IF(AND($A49&gt;=$D$5,$A49&lt;=INT($D$8)-1+$D$4),LOOKUP($A49,Retraite!$A$7:$A$47,Retraite!$K$7:$K$47)/LOOKUP($A49,Barèmes!$A$65:$A$148,Barèmes!$G$65:$G$148),IF($A49=INT($D$8+$D$4),(LOOKUP($A49,Retraite!$A$7:$A$47,Retraite!$K$7:$K$47)/LOOKUP($A49,Barèmes!$A$65:$A$148,Barèmes!$G$65:$G$148))*(1-(INT($D$8)+1-$D$8)),0)))</f>
        <v>0</v>
      </c>
      <c r="E49" s="151">
        <f>IF($A49&lt;$D$5+$D$4,0,IF(AND($A49&gt;=$D$5,$A49&lt;=INT($D$8)-1+$D$4),LOOKUP($A49,Retraite!$A$7:$A$47,Retraite!$N$7:$N$47)/LOOKUP($A49,Barèmes!$A$65:$A$148,Barèmes!$G$65:$G$148),IF($A49=INT($D$8+$D$4),(LOOKUP($A49,Retraite!$A$7:$A$47,Retraite!$N$7:$N$47)/LOOKUP($A49,Barèmes!$A$65:$A$148,Barèmes!$G$65:$G$148))*(1-(INT($D$8)+1-$D$8)),0)))</f>
        <v>0</v>
      </c>
      <c r="F49" s="121">
        <f>IF($A49&lt;$D$5+$D$4,LOOKUP($A49,Cot_droits!$A$17:$A$68,Cot_droits!$Q$17:$Q$68)/LOOKUP($A49,Barèmes!$A$65:$A$148,Barèmes!$G$65:$G$148),0)</f>
        <v>9705.1658355072104</v>
      </c>
      <c r="G49" s="115"/>
      <c r="H49" s="131">
        <f>IF($A49&lt;$D$5+$D$4,0,IF(AND($A49&gt;=$D$5,$A49&lt;=INT($D$8)-1+$D$4),LOOKUP($A49,Retraite!$A$7:$A$47,Retraite!$L$7:$L$47)/LOOKUP($A49,Barèmes!$A$65:$A$148,Barèmes!$G$65:$G$148),IF($A49=INT($D$8+$D$4),(LOOKUP($A49,Retraite!$A$7:$A$47,Retraite!$L$7:$L$47)/LOOKUP($A49,Barèmes!$A$65:$A$148,Barèmes!$G$65:$G$148))*(1-(INT($D$8)+1-$D$8)),0)))</f>
        <v>0</v>
      </c>
      <c r="I49" s="151">
        <f>IF($A49&lt;$D$5+$D$4,0,IF(AND($A49&gt;=$D$5,$A49&lt;=INT($D$8)-1+$D$4),LOOKUP($A49,Retraite!$A$7:$A$47,Retraite!$P$7:$P$47)/LOOKUP($A49,Barèmes!$A$65:$A$148,Barèmes!$G$65:$G$148),IF($A49=INT($D$8+$D$4),(LOOKUP($A49,Retraite!$A$7:$A$47,Retraite!$P$7:$P$47)/LOOKUP($A49,Barèmes!$A$65:$A$148,Barèmes!$G$65:$G$148))*(1-(INT($D$8)+1-$D$8)),0)))</f>
        <v>0</v>
      </c>
      <c r="J49" s="121">
        <f>IF($A49&lt;$D$5+$D$4,(LOOKUP($A49,Cot_droits!$A$17:$A$68,Cot_droits!$H$17:$H$68)+LOOKUP($A49,Cot_droits!$A$17:$A$68,Cot_droits!$L$17:$L$68))/LOOKUP($A49,Barèmes!$A$65:$A$148,Barèmes!$G$65:$G$148),0)</f>
        <v>6202.4445013412887</v>
      </c>
      <c r="L49" s="131">
        <f>IF($A49&lt;$D$5+$D$4,0,IF(AND($A49&gt;=$D$5,$A49&lt;=INT($D$8)-1+$D$4),LOOKUP($A49,Retraite!$A$7:$A$47,Retraite!$M$7:$M$47)/LOOKUP($A49,Barèmes!$A$65:$A$148,Barèmes!$G$65:$G$148),IF($A49=INT($D$8+$D$4),(LOOKUP($A49,Retraite!$A$7:$A$47,Retraite!$M$7:$M$47)/LOOKUP($A49,Barèmes!$A$65:$A$148,Barèmes!$G$65:$G$148))*(1-(INT($D$8)+1-$D$8)),0)))</f>
        <v>0</v>
      </c>
      <c r="M49" s="151">
        <f>IF($A49&lt;$D$5+$D$4,0,IF(AND($A49&gt;=$D$5,$A49&lt;=INT($D$8)-1+$D$4),LOOKUP($A49,Retraite!$A$7:$A$47,Retraite!$Q$7:$Q$47)/LOOKUP($A49,Barèmes!$A$65:$A$148,Barèmes!$G$65:$G$148),IF($A49=INT($D$8+$D$4),(LOOKUP($A49,Retraite!$A$7:$A$47,Retraite!$Q$7:$Q$47)/LOOKUP($A49,Barèmes!$A$65:$A$148,Barèmes!$G$65:$G$148))*(1-(INT($D$8)+1-$D$8)),0)))</f>
        <v>0</v>
      </c>
      <c r="N49" s="121">
        <f>IF($A49&lt;$D$5+$D$4,(LOOKUP($A49,Cot_droits!$A$17:$A$68,Cot_droits!$I$17:$I$68)+LOOKUP($A49,Cot_droits!$A$17:$A$68,Cot_droits!$J$17:$J$68)+LOOKUP($A49,Cot_droits!$A$17:$A$68,Cot_droits!$N$17:$N$68))/LOOKUP($A49,Barèmes!$A$65:$A$148,Barèmes!$G$65:$G$148),0)</f>
        <v>3502.7213341659199</v>
      </c>
      <c r="O49" s="115"/>
    </row>
    <row r="50" spans="1:15" s="43" customFormat="1" ht="15.75" customHeight="1" x14ac:dyDescent="0.25">
      <c r="A50" s="148">
        <f>TRI_prix!A44</f>
        <v>2049</v>
      </c>
      <c r="B50" s="121">
        <f>Cot_droits!C49/LOOKUP($A50,Barèmes!$A$65:$A$148,Barèmes!$G$65:$G$148)</f>
        <v>34816.96095198601</v>
      </c>
      <c r="C50" s="135"/>
      <c r="D50" s="131">
        <f>IF($A50&lt;$D$5+$D$4,0,IF(AND($A50&gt;=$D$5,$A50&lt;=INT($D$8)-1+$D$4),LOOKUP($A50,Retraite!$A$7:$A$47,Retraite!$K$7:$K$47)/LOOKUP($A50,Barèmes!$A$65:$A$148,Barèmes!$G$65:$G$148),IF($A50=INT($D$8+$D$4),(LOOKUP($A50,Retraite!$A$7:$A$47,Retraite!$K$7:$K$47)/LOOKUP($A50,Barèmes!$A$65:$A$148,Barèmes!$G$65:$G$148))*(1-(INT($D$8)+1-$D$8)),0)))</f>
        <v>0</v>
      </c>
      <c r="E50" s="151">
        <f>IF($A50&lt;$D$5+$D$4,0,IF(AND($A50&gt;=$D$5,$A50&lt;=INT($D$8)-1+$D$4),LOOKUP($A50,Retraite!$A$7:$A$47,Retraite!$N$7:$N$47)/LOOKUP($A50,Barèmes!$A$65:$A$148,Barèmes!$G$65:$G$148),IF($A50=INT($D$8+$D$4),(LOOKUP($A50,Retraite!$A$7:$A$47,Retraite!$N$7:$N$47)/LOOKUP($A50,Barèmes!$A$65:$A$148,Barèmes!$G$65:$G$148))*(1-(INT($D$8)+1-$D$8)),0)))</f>
        <v>0</v>
      </c>
      <c r="F50" s="121">
        <f>IF($A50&lt;$D$5+$D$4,LOOKUP($A50,Cot_droits!$A$17:$A$68,Cot_droits!$Q$17:$Q$68)/LOOKUP($A50,Barèmes!$A$65:$A$148,Barèmes!$G$65:$G$148),0)</f>
        <v>9670.0627348045946</v>
      </c>
      <c r="G50" s="115"/>
      <c r="H50" s="131">
        <f>IF($A50&lt;$D$5+$D$4,0,IF(AND($A50&gt;=$D$5,$A50&lt;=INT($D$8)-1+$D$4),LOOKUP($A50,Retraite!$A$7:$A$47,Retraite!$L$7:$L$47)/LOOKUP($A50,Barèmes!$A$65:$A$148,Barèmes!$G$65:$G$148),IF($A50=INT($D$8+$D$4),(LOOKUP($A50,Retraite!$A$7:$A$47,Retraite!$L$7:$L$47)/LOOKUP($A50,Barèmes!$A$65:$A$148,Barèmes!$G$65:$G$148))*(1-(INT($D$8)+1-$D$8)),0)))</f>
        <v>0</v>
      </c>
      <c r="I50" s="151">
        <f>IF($A50&lt;$D$5+$D$4,0,IF(AND($A50&gt;=$D$5,$A50&lt;=INT($D$8)-1+$D$4),LOOKUP($A50,Retraite!$A$7:$A$47,Retraite!$P$7:$P$47)/LOOKUP($A50,Barèmes!$A$65:$A$148,Barèmes!$G$65:$G$148),IF($A50=INT($D$8+$D$4),(LOOKUP($A50,Retraite!$A$7:$A$47,Retraite!$P$7:$P$47)/LOOKUP($A50,Barèmes!$A$65:$A$148,Barèmes!$G$65:$G$148))*(1-(INT($D$8)+1-$D$8)),0)))</f>
        <v>0</v>
      </c>
      <c r="J50" s="121">
        <f>IF($A50&lt;$D$5+$D$4,(LOOKUP($A50,Cot_droits!$A$17:$A$68,Cot_droits!$H$17:$H$68)+LOOKUP($A50,Cot_droits!$A$17:$A$68,Cot_droits!$L$17:$L$68))/LOOKUP($A50,Barèmes!$A$65:$A$148,Barèmes!$G$65:$G$148),0)</f>
        <v>6180.0105689775164</v>
      </c>
      <c r="L50" s="131">
        <f>IF($A50&lt;$D$5+$D$4,0,IF(AND($A50&gt;=$D$5,$A50&lt;=INT($D$8)-1+$D$4),LOOKUP($A50,Retraite!$A$7:$A$47,Retraite!$M$7:$M$47)/LOOKUP($A50,Barèmes!$A$65:$A$148,Barèmes!$G$65:$G$148),IF($A50=INT($D$8+$D$4),(LOOKUP($A50,Retraite!$A$7:$A$47,Retraite!$M$7:$M$47)/LOOKUP($A50,Barèmes!$A$65:$A$148,Barèmes!$G$65:$G$148))*(1-(INT($D$8)+1-$D$8)),0)))</f>
        <v>0</v>
      </c>
      <c r="M50" s="151">
        <f>IF($A50&lt;$D$5+$D$4,0,IF(AND($A50&gt;=$D$5,$A50&lt;=INT($D$8)-1+$D$4),LOOKUP($A50,Retraite!$A$7:$A$47,Retraite!$Q$7:$Q$47)/LOOKUP($A50,Barèmes!$A$65:$A$148,Barèmes!$G$65:$G$148),IF($A50=INT($D$8+$D$4),(LOOKUP($A50,Retraite!$A$7:$A$47,Retraite!$Q$7:$Q$47)/LOOKUP($A50,Barèmes!$A$65:$A$148,Barèmes!$G$65:$G$148))*(1-(INT($D$8)+1-$D$8)),0)))</f>
        <v>0</v>
      </c>
      <c r="N50" s="121">
        <f>IF($A50&lt;$D$5+$D$4,(LOOKUP($A50,Cot_droits!$A$17:$A$68,Cot_droits!$I$17:$I$68)+LOOKUP($A50,Cot_droits!$A$17:$A$68,Cot_droits!$J$17:$J$68)+LOOKUP($A50,Cot_droits!$A$17:$A$68,Cot_droits!$N$17:$N$68))/LOOKUP($A50,Barèmes!$A$65:$A$148,Barèmes!$G$65:$G$148),0)</f>
        <v>3490.0521658270782</v>
      </c>
      <c r="O50" s="115"/>
    </row>
    <row r="51" spans="1:15" s="43" customFormat="1" ht="15.75" customHeight="1" x14ac:dyDescent="0.25">
      <c r="A51" s="148">
        <f>TRI_prix!A45</f>
        <v>2050</v>
      </c>
      <c r="B51" s="121">
        <f>Cot_droits!C50/LOOKUP($A51,Barèmes!$A$65:$A$148,Barèmes!$G$65:$G$148)</f>
        <v>34721.620655658073</v>
      </c>
      <c r="C51" s="135"/>
      <c r="D51" s="131">
        <f>IF($A51&lt;$D$5+$D$4,0,IF(AND($A51&gt;=$D$5,$A51&lt;=INT($D$8)-1+$D$4),LOOKUP($A51,Retraite!$A$7:$A$47,Retraite!$K$7:$K$47)/LOOKUP($A51,Barèmes!$A$65:$A$148,Barèmes!$G$65:$G$148),IF($A51=INT($D$8+$D$4),(LOOKUP($A51,Retraite!$A$7:$A$47,Retraite!$K$7:$K$47)/LOOKUP($A51,Barèmes!$A$65:$A$148,Barèmes!$G$65:$G$148))*(1-(INT($D$8)+1-$D$8)),0)))</f>
        <v>0</v>
      </c>
      <c r="E51" s="151">
        <f>IF($A51&lt;$D$5+$D$4,0,IF(AND($A51&gt;=$D$5,$A51&lt;=INT($D$8)-1+$D$4),LOOKUP($A51,Retraite!$A$7:$A$47,Retraite!$N$7:$N$47)/LOOKUP($A51,Barèmes!$A$65:$A$148,Barèmes!$G$65:$G$148),IF($A51=INT($D$8+$D$4),(LOOKUP($A51,Retraite!$A$7:$A$47,Retraite!$N$7:$N$47)/LOOKUP($A51,Barèmes!$A$65:$A$148,Barèmes!$G$65:$G$148))*(1-(INT($D$8)+1-$D$8)),0)))</f>
        <v>0</v>
      </c>
      <c r="F51" s="121">
        <f>IF($A51&lt;$D$5+$D$4,LOOKUP($A51,Cot_droits!$A$17:$A$68,Cot_droits!$Q$17:$Q$68)/LOOKUP($A51,Barèmes!$A$65:$A$148,Barèmes!$G$65:$G$148),0)</f>
        <v>9643.5829209024723</v>
      </c>
      <c r="G51" s="115"/>
      <c r="H51" s="131">
        <f>IF($A51&lt;$D$5+$D$4,0,IF(AND($A51&gt;=$D$5,$A51&lt;=INT($D$8)-1+$D$4),LOOKUP($A51,Retraite!$A$7:$A$47,Retraite!$L$7:$L$47)/LOOKUP($A51,Barèmes!$A$65:$A$148,Barèmes!$G$65:$G$148),IF($A51=INT($D$8+$D$4),(LOOKUP($A51,Retraite!$A$7:$A$47,Retraite!$L$7:$L$47)/LOOKUP($A51,Barèmes!$A$65:$A$148,Barèmes!$G$65:$G$148))*(1-(INT($D$8)+1-$D$8)),0)))</f>
        <v>0</v>
      </c>
      <c r="I51" s="151">
        <f>IF($A51&lt;$D$5+$D$4,0,IF(AND($A51&gt;=$D$5,$A51&lt;=INT($D$8)-1+$D$4),LOOKUP($A51,Retraite!$A$7:$A$47,Retraite!$P$7:$P$47)/LOOKUP($A51,Barèmes!$A$65:$A$148,Barèmes!$G$65:$G$148),IF($A51=INT($D$8+$D$4),(LOOKUP($A51,Retraite!$A$7:$A$47,Retraite!$P$7:$P$47)/LOOKUP($A51,Barèmes!$A$65:$A$148,Barèmes!$G$65:$G$148))*(1-(INT($D$8)+1-$D$8)),0)))</f>
        <v>0</v>
      </c>
      <c r="J51" s="121">
        <f>IF($A51&lt;$D$5+$D$4,(LOOKUP($A51,Cot_droits!$A$17:$A$68,Cot_droits!$H$17:$H$68)+LOOKUP($A51,Cot_droits!$A$17:$A$68,Cot_droits!$L$17:$L$68))/LOOKUP($A51,Barèmes!$A$65:$A$148,Barèmes!$G$65:$G$148),0)</f>
        <v>6163.0876663793078</v>
      </c>
      <c r="L51" s="131">
        <f>IF($A51&lt;$D$5+$D$4,0,IF(AND($A51&gt;=$D$5,$A51&lt;=INT($D$8)-1+$D$4),LOOKUP($A51,Retraite!$A$7:$A$47,Retraite!$M$7:$M$47)/LOOKUP($A51,Barèmes!$A$65:$A$148,Barèmes!$G$65:$G$148),IF($A51=INT($D$8+$D$4),(LOOKUP($A51,Retraite!$A$7:$A$47,Retraite!$M$7:$M$47)/LOOKUP($A51,Barèmes!$A$65:$A$148,Barèmes!$G$65:$G$148))*(1-(INT($D$8)+1-$D$8)),0)))</f>
        <v>0</v>
      </c>
      <c r="M51" s="151">
        <f>IF($A51&lt;$D$5+$D$4,0,IF(AND($A51&gt;=$D$5,$A51&lt;=INT($D$8)-1+$D$4),LOOKUP($A51,Retraite!$A$7:$A$47,Retraite!$Q$7:$Q$47)/LOOKUP($A51,Barèmes!$A$65:$A$148,Barèmes!$G$65:$G$148),IF($A51=INT($D$8+$D$4),(LOOKUP($A51,Retraite!$A$7:$A$47,Retraite!$Q$7:$Q$47)/LOOKUP($A51,Barèmes!$A$65:$A$148,Barèmes!$G$65:$G$148))*(1-(INT($D$8)+1-$D$8)),0)))</f>
        <v>0</v>
      </c>
      <c r="N51" s="121">
        <f>IF($A51&lt;$D$5+$D$4,(LOOKUP($A51,Cot_droits!$A$17:$A$68,Cot_droits!$I$17:$I$68)+LOOKUP($A51,Cot_droits!$A$17:$A$68,Cot_droits!$J$17:$J$68)+LOOKUP($A51,Cot_droits!$A$17:$A$68,Cot_droits!$N$17:$N$68))/LOOKUP($A51,Barèmes!$A$65:$A$148,Barèmes!$G$65:$G$148),0)</f>
        <v>3480.4952545231658</v>
      </c>
      <c r="O51" s="115"/>
    </row>
    <row r="52" spans="1:15" s="43" customFormat="1" ht="15.75" customHeight="1" x14ac:dyDescent="0.25">
      <c r="A52" s="148">
        <f>TRI_prix!A46</f>
        <v>2051</v>
      </c>
      <c r="B52" s="121">
        <f>Cot_droits!C51/LOOKUP($A52,Barèmes!$A$65:$A$148,Barèmes!$G$65:$G$148)</f>
        <v>34740.391248157626</v>
      </c>
      <c r="C52" s="135"/>
      <c r="D52" s="131">
        <f>IF($A52&lt;$D$5+$D$4,0,IF(AND($A52&gt;=$D$5,$A52&lt;=INT($D$8)-1+$D$4),LOOKUP($A52,Retraite!$A$7:$A$47,Retraite!$K$7:$K$47)/LOOKUP($A52,Barèmes!$A$65:$A$148,Barèmes!$G$65:$G$148),IF($A52=INT($D$8+$D$4),(LOOKUP($A52,Retraite!$A$7:$A$47,Retraite!$K$7:$K$47)/LOOKUP($A52,Barèmes!$A$65:$A$148,Barèmes!$G$65:$G$148))*(1-(INT($D$8)+1-$D$8)),0)))</f>
        <v>0</v>
      </c>
      <c r="E52" s="151">
        <f>IF($A52&lt;$D$5+$D$4,0,IF(AND($A52&gt;=$D$5,$A52&lt;=INT($D$8)-1+$D$4),LOOKUP($A52,Retraite!$A$7:$A$47,Retraite!$N$7:$N$47)/LOOKUP($A52,Barèmes!$A$65:$A$148,Barèmes!$G$65:$G$148),IF($A52=INT($D$8+$D$4),(LOOKUP($A52,Retraite!$A$7:$A$47,Retraite!$N$7:$N$47)/LOOKUP($A52,Barèmes!$A$65:$A$148,Barèmes!$G$65:$G$148))*(1-(INT($D$8)+1-$D$8)),0)))</f>
        <v>0</v>
      </c>
      <c r="F52" s="121">
        <f>IF($A52&lt;$D$5+$D$4,LOOKUP($A52,Cot_droits!$A$17:$A$68,Cot_droits!$Q$17:$Q$68)/LOOKUP($A52,Barèmes!$A$65:$A$148,Barèmes!$G$65:$G$148),0)</f>
        <v>9648.7962652632996</v>
      </c>
      <c r="G52" s="115"/>
      <c r="H52" s="131">
        <f>IF($A52&lt;$D$5+$D$4,0,IF(AND($A52&gt;=$D$5,$A52&lt;=INT($D$8)-1+$D$4),LOOKUP($A52,Retraite!$A$7:$A$47,Retraite!$L$7:$L$47)/LOOKUP($A52,Barèmes!$A$65:$A$148,Barèmes!$G$65:$G$148),IF($A52=INT($D$8+$D$4),(LOOKUP($A52,Retraite!$A$7:$A$47,Retraite!$L$7:$L$47)/LOOKUP($A52,Barèmes!$A$65:$A$148,Barèmes!$G$65:$G$148))*(1-(INT($D$8)+1-$D$8)),0)))</f>
        <v>0</v>
      </c>
      <c r="I52" s="151">
        <f>IF($A52&lt;$D$5+$D$4,0,IF(AND($A52&gt;=$D$5,$A52&lt;=INT($D$8)-1+$D$4),LOOKUP($A52,Retraite!$A$7:$A$47,Retraite!$P$7:$P$47)/LOOKUP($A52,Barèmes!$A$65:$A$148,Barèmes!$G$65:$G$148),IF($A52=INT($D$8+$D$4),(LOOKUP($A52,Retraite!$A$7:$A$47,Retraite!$P$7:$P$47)/LOOKUP($A52,Barèmes!$A$65:$A$148,Barèmes!$G$65:$G$148))*(1-(INT($D$8)+1-$D$8)),0)))</f>
        <v>0</v>
      </c>
      <c r="J52" s="121">
        <f>IF($A52&lt;$D$5+$D$4,(LOOKUP($A52,Cot_droits!$A$17:$A$68,Cot_droits!$H$17:$H$68)+LOOKUP($A52,Cot_droits!$A$17:$A$68,Cot_droits!$L$17:$L$68))/LOOKUP($A52,Barèmes!$A$65:$A$148,Barèmes!$G$65:$G$148),0)</f>
        <v>6166.4194465479795</v>
      </c>
      <c r="L52" s="131">
        <f>IF($A52&lt;$D$5+$D$4,0,IF(AND($A52&gt;=$D$5,$A52&lt;=INT($D$8)-1+$D$4),LOOKUP($A52,Retraite!$A$7:$A$47,Retraite!$M$7:$M$47)/LOOKUP($A52,Barèmes!$A$65:$A$148,Barèmes!$G$65:$G$148),IF($A52=INT($D$8+$D$4),(LOOKUP($A52,Retraite!$A$7:$A$47,Retraite!$M$7:$M$47)/LOOKUP($A52,Barèmes!$A$65:$A$148,Barèmes!$G$65:$G$148))*(1-(INT($D$8)+1-$D$8)),0)))</f>
        <v>0</v>
      </c>
      <c r="M52" s="151">
        <f>IF($A52&lt;$D$5+$D$4,0,IF(AND($A52&gt;=$D$5,$A52&lt;=INT($D$8)-1+$D$4),LOOKUP($A52,Retraite!$A$7:$A$47,Retraite!$Q$7:$Q$47)/LOOKUP($A52,Barèmes!$A$65:$A$148,Barèmes!$G$65:$G$148),IF($A52=INT($D$8+$D$4),(LOOKUP($A52,Retraite!$A$7:$A$47,Retraite!$Q$7:$Q$47)/LOOKUP($A52,Barèmes!$A$65:$A$148,Barèmes!$G$65:$G$148))*(1-(INT($D$8)+1-$D$8)),0)))</f>
        <v>0</v>
      </c>
      <c r="N52" s="121">
        <f>IF($A52&lt;$D$5+$D$4,(LOOKUP($A52,Cot_droits!$A$17:$A$68,Cot_droits!$I$17:$I$68)+LOOKUP($A52,Cot_droits!$A$17:$A$68,Cot_droits!$J$17:$J$68)+LOOKUP($A52,Cot_droits!$A$17:$A$68,Cot_droits!$N$17:$N$68))/LOOKUP($A52,Barèmes!$A$65:$A$148,Barèmes!$G$65:$G$148),0)</f>
        <v>3482.376818715321</v>
      </c>
      <c r="O52" s="115"/>
    </row>
    <row r="53" spans="1:15" s="43" customFormat="1" ht="15.75" customHeight="1" x14ac:dyDescent="0.25">
      <c r="A53" s="148">
        <f>TRI_prix!A47</f>
        <v>2052</v>
      </c>
      <c r="B53" s="121">
        <f>Cot_droits!C52/LOOKUP($A53,Barèmes!$A$65:$A$148,Barèmes!$G$65:$G$148)</f>
        <v>34156.119099116993</v>
      </c>
      <c r="C53" s="135"/>
      <c r="D53" s="131">
        <f>IF($A53&lt;$D$5+$D$4,0,IF(AND($A53&gt;=$D$5,$A53&lt;=INT($D$8)-1+$D$4),LOOKUP($A53,Retraite!$A$7:$A$47,Retraite!$K$7:$K$47)/LOOKUP($A53,Barèmes!$A$65:$A$148,Barèmes!$G$65:$G$148),IF($A53=INT($D$8+$D$4),(LOOKUP($A53,Retraite!$A$7:$A$47,Retraite!$K$7:$K$47)/LOOKUP($A53,Barèmes!$A$65:$A$148,Barèmes!$G$65:$G$148))*(1-(INT($D$8)+1-$D$8)),0)))</f>
        <v>0</v>
      </c>
      <c r="E53" s="151">
        <f>IF($A53&lt;$D$5+$D$4,0,IF(AND($A53&gt;=$D$5,$A53&lt;=INT($D$8)-1+$D$4),LOOKUP($A53,Retraite!$A$7:$A$47,Retraite!$N$7:$N$47)/LOOKUP($A53,Barèmes!$A$65:$A$148,Barèmes!$G$65:$G$148),IF($A53=INT($D$8+$D$4),(LOOKUP($A53,Retraite!$A$7:$A$47,Retraite!$N$7:$N$47)/LOOKUP($A53,Barèmes!$A$65:$A$148,Barèmes!$G$65:$G$148))*(1-(INT($D$8)+1-$D$8)),0)))</f>
        <v>0</v>
      </c>
      <c r="F53" s="121">
        <f>IF($A53&lt;$D$5+$D$4,LOOKUP($A53,Cot_droits!$A$17:$A$68,Cot_droits!$Q$17:$Q$68)/LOOKUP($A53,Barèmes!$A$65:$A$148,Barèmes!$G$65:$G$148),0)</f>
        <v>9486.5205185887535</v>
      </c>
      <c r="G53" s="115"/>
      <c r="H53" s="131">
        <f>IF($A53&lt;$D$5+$D$4,0,IF(AND($A53&gt;=$D$5,$A53&lt;=INT($D$8)-1+$D$4),LOOKUP($A53,Retraite!$A$7:$A$47,Retraite!$L$7:$L$47)/LOOKUP($A53,Barèmes!$A$65:$A$148,Barèmes!$G$65:$G$148),IF($A53=INT($D$8+$D$4),(LOOKUP($A53,Retraite!$A$7:$A$47,Retraite!$L$7:$L$47)/LOOKUP($A53,Barèmes!$A$65:$A$148,Barèmes!$G$65:$G$148))*(1-(INT($D$8)+1-$D$8)),0)))</f>
        <v>0</v>
      </c>
      <c r="I53" s="151">
        <f>IF($A53&lt;$D$5+$D$4,0,IF(AND($A53&gt;=$D$5,$A53&lt;=INT($D$8)-1+$D$4),LOOKUP($A53,Retraite!$A$7:$A$47,Retraite!$P$7:$P$47)/LOOKUP($A53,Barèmes!$A$65:$A$148,Barèmes!$G$65:$G$148),IF($A53=INT($D$8+$D$4),(LOOKUP($A53,Retraite!$A$7:$A$47,Retraite!$P$7:$P$47)/LOOKUP($A53,Barèmes!$A$65:$A$148,Barèmes!$G$65:$G$148))*(1-(INT($D$8)+1-$D$8)),0)))</f>
        <v>0</v>
      </c>
      <c r="J53" s="121">
        <f>IF($A53&lt;$D$5+$D$4,(LOOKUP($A53,Cot_droits!$A$17:$A$68,Cot_droits!$H$17:$H$68)+LOOKUP($A53,Cot_droits!$A$17:$A$68,Cot_droits!$L$17:$L$68))/LOOKUP($A53,Barèmes!$A$65:$A$148,Barèmes!$G$65:$G$148),0)</f>
        <v>6062.7111400932663</v>
      </c>
      <c r="L53" s="131">
        <f>IF($A53&lt;$D$5+$D$4,0,IF(AND($A53&gt;=$D$5,$A53&lt;=INT($D$8)-1+$D$4),LOOKUP($A53,Retraite!$A$7:$A$47,Retraite!$M$7:$M$47)/LOOKUP($A53,Barèmes!$A$65:$A$148,Barèmes!$G$65:$G$148),IF($A53=INT($D$8+$D$4),(LOOKUP($A53,Retraite!$A$7:$A$47,Retraite!$M$7:$M$47)/LOOKUP($A53,Barèmes!$A$65:$A$148,Barèmes!$G$65:$G$148))*(1-(INT($D$8)+1-$D$8)),0)))</f>
        <v>0</v>
      </c>
      <c r="M53" s="151">
        <f>IF($A53&lt;$D$5+$D$4,0,IF(AND($A53&gt;=$D$5,$A53&lt;=INT($D$8)-1+$D$4),LOOKUP($A53,Retraite!$A$7:$A$47,Retraite!$Q$7:$Q$47)/LOOKUP($A53,Barèmes!$A$65:$A$148,Barèmes!$G$65:$G$148),IF($A53=INT($D$8+$D$4),(LOOKUP($A53,Retraite!$A$7:$A$47,Retraite!$Q$7:$Q$47)/LOOKUP($A53,Barèmes!$A$65:$A$148,Barèmes!$G$65:$G$148))*(1-(INT($D$8)+1-$D$8)),0)))</f>
        <v>0</v>
      </c>
      <c r="N53" s="121">
        <f>IF($A53&lt;$D$5+$D$4,(LOOKUP($A53,Cot_droits!$A$17:$A$68,Cot_droits!$I$17:$I$68)+LOOKUP($A53,Cot_droits!$A$17:$A$68,Cot_droits!$J$17:$J$68)+LOOKUP($A53,Cot_droits!$A$17:$A$68,Cot_droits!$N$17:$N$68))/LOOKUP($A53,Barèmes!$A$65:$A$148,Barèmes!$G$65:$G$148),0)</f>
        <v>3423.8093784954876</v>
      </c>
      <c r="O53" s="115"/>
    </row>
    <row r="54" spans="1:15" s="43" customFormat="1" ht="15.75" customHeight="1" x14ac:dyDescent="0.25">
      <c r="A54" s="148">
        <f>TRI_prix!A48</f>
        <v>2053</v>
      </c>
      <c r="B54" s="121">
        <f>Cot_droits!C53/LOOKUP($A54,Barèmes!$A$65:$A$148,Barèmes!$G$65:$G$148)</f>
        <v>34087.675992486911</v>
      </c>
      <c r="C54" s="135"/>
      <c r="D54" s="131">
        <f>IF($A54&lt;$D$5+$D$4,0,IF(AND($A54&gt;=$D$5,$A54&lt;=INT($D$8)-1+$D$4),LOOKUP($A54,Retraite!$A$7:$A$47,Retraite!$K$7:$K$47)/LOOKUP($A54,Barèmes!$A$65:$A$148,Barèmes!$G$65:$G$148),IF($A54=INT($D$8+$D$4),(LOOKUP($A54,Retraite!$A$7:$A$47,Retraite!$K$7:$K$47)/LOOKUP($A54,Barèmes!$A$65:$A$148,Barèmes!$G$65:$G$148))*(1-(INT($D$8)+1-$D$8)),0)))</f>
        <v>0</v>
      </c>
      <c r="E54" s="151">
        <f>IF($A54&lt;$D$5+$D$4,0,IF(AND($A54&gt;=$D$5,$A54&lt;=INT($D$8)-1+$D$4),LOOKUP($A54,Retraite!$A$7:$A$47,Retraite!$N$7:$N$47)/LOOKUP($A54,Barèmes!$A$65:$A$148,Barèmes!$G$65:$G$148),IF($A54=INT($D$8+$D$4),(LOOKUP($A54,Retraite!$A$7:$A$47,Retraite!$N$7:$N$47)/LOOKUP($A54,Barèmes!$A$65:$A$148,Barèmes!$G$65:$G$148))*(1-(INT($D$8)+1-$D$8)),0)))</f>
        <v>0</v>
      </c>
      <c r="F54" s="121">
        <f>IF($A54&lt;$D$5+$D$4,LOOKUP($A54,Cot_droits!$A$17:$A$68,Cot_droits!$Q$17:$Q$68)/LOOKUP($A54,Barèmes!$A$65:$A$148,Barèmes!$G$65:$G$148),0)</f>
        <v>9467.5111301533143</v>
      </c>
      <c r="G54" s="115"/>
      <c r="H54" s="131">
        <f>IF($A54&lt;$D$5+$D$4,0,IF(AND($A54&gt;=$D$5,$A54&lt;=INT($D$8)-1+$D$4),LOOKUP($A54,Retraite!$A$7:$A$47,Retraite!$L$7:$L$47)/LOOKUP($A54,Barèmes!$A$65:$A$148,Barèmes!$G$65:$G$148),IF($A54=INT($D$8+$D$4),(LOOKUP($A54,Retraite!$A$7:$A$47,Retraite!$L$7:$L$47)/LOOKUP($A54,Barèmes!$A$65:$A$148,Barèmes!$G$65:$G$148))*(1-(INT($D$8)+1-$D$8)),0)))</f>
        <v>0</v>
      </c>
      <c r="I54" s="151">
        <f>IF($A54&lt;$D$5+$D$4,0,IF(AND($A54&gt;=$D$5,$A54&lt;=INT($D$8)-1+$D$4),LOOKUP($A54,Retraite!$A$7:$A$47,Retraite!$P$7:$P$47)/LOOKUP($A54,Barèmes!$A$65:$A$148,Barèmes!$G$65:$G$148),IF($A54=INT($D$8+$D$4),(LOOKUP($A54,Retraite!$A$7:$A$47,Retraite!$P$7:$P$47)/LOOKUP($A54,Barèmes!$A$65:$A$148,Barèmes!$G$65:$G$148))*(1-(INT($D$8)+1-$D$8)),0)))</f>
        <v>0</v>
      </c>
      <c r="J54" s="121">
        <f>IF($A54&lt;$D$5+$D$4,(LOOKUP($A54,Cot_droits!$A$17:$A$68,Cot_droits!$H$17:$H$68)+LOOKUP($A54,Cot_droits!$A$17:$A$68,Cot_droits!$L$17:$L$68))/LOOKUP($A54,Barèmes!$A$65:$A$148,Barèmes!$G$65:$G$148),0)</f>
        <v>6050.5624886664273</v>
      </c>
      <c r="L54" s="131">
        <f>IF($A54&lt;$D$5+$D$4,0,IF(AND($A54&gt;=$D$5,$A54&lt;=INT($D$8)-1+$D$4),LOOKUP($A54,Retraite!$A$7:$A$47,Retraite!$M$7:$M$47)/LOOKUP($A54,Barèmes!$A$65:$A$148,Barèmes!$G$65:$G$148),IF($A54=INT($D$8+$D$4),(LOOKUP($A54,Retraite!$A$7:$A$47,Retraite!$M$7:$M$47)/LOOKUP($A54,Barèmes!$A$65:$A$148,Barèmes!$G$65:$G$148))*(1-(INT($D$8)+1-$D$8)),0)))</f>
        <v>0</v>
      </c>
      <c r="M54" s="151">
        <f>IF($A54&lt;$D$5+$D$4,0,IF(AND($A54&gt;=$D$5,$A54&lt;=INT($D$8)-1+$D$4),LOOKUP($A54,Retraite!$A$7:$A$47,Retraite!$Q$7:$Q$47)/LOOKUP($A54,Barèmes!$A$65:$A$148,Barèmes!$G$65:$G$148),IF($A54=INT($D$8+$D$4),(LOOKUP($A54,Retraite!$A$7:$A$47,Retraite!$Q$7:$Q$47)/LOOKUP($A54,Barèmes!$A$65:$A$148,Barèmes!$G$65:$G$148))*(1-(INT($D$8)+1-$D$8)),0)))</f>
        <v>0</v>
      </c>
      <c r="N54" s="121">
        <f>IF($A54&lt;$D$5+$D$4,(LOOKUP($A54,Cot_droits!$A$17:$A$68,Cot_droits!$I$17:$I$68)+LOOKUP($A54,Cot_droits!$A$17:$A$68,Cot_droits!$J$17:$J$68)+LOOKUP($A54,Cot_droits!$A$17:$A$68,Cot_droits!$N$17:$N$68))/LOOKUP($A54,Barèmes!$A$65:$A$148,Barèmes!$G$65:$G$148),0)</f>
        <v>3416.9486414868888</v>
      </c>
      <c r="O54" s="115"/>
    </row>
    <row r="55" spans="1:15" s="43" customFormat="1" ht="15.75" customHeight="1" x14ac:dyDescent="0.25">
      <c r="A55" s="148">
        <f>TRI_prix!A49</f>
        <v>2054</v>
      </c>
      <c r="B55" s="121">
        <f>Cot_droits!C54/LOOKUP($A55,Barèmes!$A$65:$A$148,Barèmes!$G$65:$G$148)</f>
        <v>33714.434696358599</v>
      </c>
      <c r="C55" s="135"/>
      <c r="D55" s="131">
        <f>IF($A55&lt;$D$5+$D$4,0,IF(AND($A55&gt;=$D$5,$A55&lt;=INT($D$8)-1+$D$4),LOOKUP($A55,Retraite!$A$7:$A$47,Retraite!$K$7:$K$47)/LOOKUP($A55,Barèmes!$A$65:$A$148,Barèmes!$G$65:$G$148),IF($A55=INT($D$8+$D$4),(LOOKUP($A55,Retraite!$A$7:$A$47,Retraite!$K$7:$K$47)/LOOKUP($A55,Barèmes!$A$65:$A$148,Barèmes!$G$65:$G$148))*(1-(INT($D$8)+1-$D$8)),0)))</f>
        <v>0</v>
      </c>
      <c r="E55" s="151">
        <f>IF($A55&lt;$D$5+$D$4,0,IF(AND($A55&gt;=$D$5,$A55&lt;=INT($D$8)-1+$D$4),LOOKUP($A55,Retraite!$A$7:$A$47,Retraite!$N$7:$N$47)/LOOKUP($A55,Barèmes!$A$65:$A$148,Barèmes!$G$65:$G$148),IF($A55=INT($D$8+$D$4),(LOOKUP($A55,Retraite!$A$7:$A$47,Retraite!$N$7:$N$47)/LOOKUP($A55,Barèmes!$A$65:$A$148,Barèmes!$G$65:$G$148))*(1-(INT($D$8)+1-$D$8)),0)))</f>
        <v>0</v>
      </c>
      <c r="F55" s="121">
        <f>IF($A55&lt;$D$5+$D$4,LOOKUP($A55,Cot_droits!$A$17:$A$68,Cot_droits!$Q$17:$Q$68)/LOOKUP($A55,Barèmes!$A$65:$A$148,Barèmes!$G$65:$G$148),0)</f>
        <v>9363.847092566637</v>
      </c>
      <c r="G55" s="115"/>
      <c r="H55" s="131">
        <f>IF($A55&lt;$D$5+$D$4,0,IF(AND($A55&gt;=$D$5,$A55&lt;=INT($D$8)-1+$D$4),LOOKUP($A55,Retraite!$A$7:$A$47,Retraite!$L$7:$L$47)/LOOKUP($A55,Barèmes!$A$65:$A$148,Barèmes!$G$65:$G$148),IF($A55=INT($D$8+$D$4),(LOOKUP($A55,Retraite!$A$7:$A$47,Retraite!$L$7:$L$47)/LOOKUP($A55,Barèmes!$A$65:$A$148,Barèmes!$G$65:$G$148))*(1-(INT($D$8)+1-$D$8)),0)))</f>
        <v>0</v>
      </c>
      <c r="I55" s="151">
        <f>IF($A55&lt;$D$5+$D$4,0,IF(AND($A55&gt;=$D$5,$A55&lt;=INT($D$8)-1+$D$4),LOOKUP($A55,Retraite!$A$7:$A$47,Retraite!$P$7:$P$47)/LOOKUP($A55,Barèmes!$A$65:$A$148,Barèmes!$G$65:$G$148),IF($A55=INT($D$8+$D$4),(LOOKUP($A55,Retraite!$A$7:$A$47,Retraite!$P$7:$P$47)/LOOKUP($A55,Barèmes!$A$65:$A$148,Barèmes!$G$65:$G$148))*(1-(INT($D$8)+1-$D$8)),0)))</f>
        <v>0</v>
      </c>
      <c r="J55" s="121">
        <f>IF($A55&lt;$D$5+$D$4,(LOOKUP($A55,Cot_droits!$A$17:$A$68,Cot_droits!$H$17:$H$68)+LOOKUP($A55,Cot_droits!$A$17:$A$68,Cot_droits!$L$17:$L$68))/LOOKUP($A55,Barèmes!$A$65:$A$148,Barèmes!$G$65:$G$148),0)</f>
        <v>5984.3121586036505</v>
      </c>
      <c r="L55" s="131">
        <f>IF($A55&lt;$D$5+$D$4,0,IF(AND($A55&gt;=$D$5,$A55&lt;=INT($D$8)-1+$D$4),LOOKUP($A55,Retraite!$A$7:$A$47,Retraite!$M$7:$M$47)/LOOKUP($A55,Barèmes!$A$65:$A$148,Barèmes!$G$65:$G$148),IF($A55=INT($D$8+$D$4),(LOOKUP($A55,Retraite!$A$7:$A$47,Retraite!$M$7:$M$47)/LOOKUP($A55,Barèmes!$A$65:$A$148,Barèmes!$G$65:$G$148))*(1-(INT($D$8)+1-$D$8)),0)))</f>
        <v>0</v>
      </c>
      <c r="M55" s="151">
        <f>IF($A55&lt;$D$5+$D$4,0,IF(AND($A55&gt;=$D$5,$A55&lt;=INT($D$8)-1+$D$4),LOOKUP($A55,Retraite!$A$7:$A$47,Retraite!$Q$7:$Q$47)/LOOKUP($A55,Barèmes!$A$65:$A$148,Barèmes!$G$65:$G$148),IF($A55=INT($D$8+$D$4),(LOOKUP($A55,Retraite!$A$7:$A$47,Retraite!$Q$7:$Q$47)/LOOKUP($A55,Barèmes!$A$65:$A$148,Barèmes!$G$65:$G$148))*(1-(INT($D$8)+1-$D$8)),0)))</f>
        <v>0</v>
      </c>
      <c r="N55" s="121">
        <f>IF($A55&lt;$D$5+$D$4,(LOOKUP($A55,Cot_droits!$A$17:$A$68,Cot_droits!$I$17:$I$68)+LOOKUP($A55,Cot_droits!$A$17:$A$68,Cot_droits!$J$17:$J$68)+LOOKUP($A55,Cot_droits!$A$17:$A$68,Cot_droits!$N$17:$N$68))/LOOKUP($A55,Barèmes!$A$65:$A$148,Barèmes!$G$65:$G$148),0)</f>
        <v>3379.5349339629861</v>
      </c>
      <c r="O55" s="115"/>
    </row>
    <row r="56" spans="1:15" s="43" customFormat="1" ht="15.75" customHeight="1" x14ac:dyDescent="0.25">
      <c r="A56" s="148">
        <f>TRI_prix!A50</f>
        <v>2055</v>
      </c>
      <c r="B56" s="121">
        <f>Cot_droits!C55/LOOKUP($A56,Barèmes!$A$65:$A$148,Barèmes!$G$65:$G$148)</f>
        <v>33733.004183155121</v>
      </c>
      <c r="C56" s="135"/>
      <c r="D56" s="131">
        <f>IF($A56&lt;$D$5+$D$4,0,IF(AND($A56&gt;=$D$5,$A56&lt;=INT($D$8)-1+$D$4),LOOKUP($A56,Retraite!$A$7:$A$47,Retraite!$K$7:$K$47)/LOOKUP($A56,Barèmes!$A$65:$A$148,Barèmes!$G$65:$G$148),IF($A56=INT($D$8+$D$4),(LOOKUP($A56,Retraite!$A$7:$A$47,Retraite!$K$7:$K$47)/LOOKUP($A56,Barèmes!$A$65:$A$148,Barèmes!$G$65:$G$148))*(1-(INT($D$8)+1-$D$8)),0)))</f>
        <v>0</v>
      </c>
      <c r="E56" s="151">
        <f>IF($A56&lt;$D$5+$D$4,0,IF(AND($A56&gt;=$D$5,$A56&lt;=INT($D$8)-1+$D$4),LOOKUP($A56,Retraite!$A$7:$A$47,Retraite!$N$7:$N$47)/LOOKUP($A56,Barèmes!$A$65:$A$148,Barèmes!$G$65:$G$148),IF($A56=INT($D$8+$D$4),(LOOKUP($A56,Retraite!$A$7:$A$47,Retraite!$N$7:$N$47)/LOOKUP($A56,Barèmes!$A$65:$A$148,Barèmes!$G$65:$G$148))*(1-(INT($D$8)+1-$D$8)),0)))</f>
        <v>0</v>
      </c>
      <c r="F56" s="121">
        <f>IF($A56&lt;$D$5+$D$4,LOOKUP($A56,Cot_droits!$A$17:$A$68,Cot_droits!$Q$17:$Q$68)/LOOKUP($A56,Barèmes!$A$65:$A$148,Barèmes!$G$65:$G$148),0)</f>
        <v>9369.0045818295039</v>
      </c>
      <c r="G56" s="115"/>
      <c r="H56" s="131">
        <f>IF($A56&lt;$D$5+$D$4,0,IF(AND($A56&gt;=$D$5,$A56&lt;=INT($D$8)-1+$D$4),LOOKUP($A56,Retraite!$A$7:$A$47,Retraite!$L$7:$L$47)/LOOKUP($A56,Barèmes!$A$65:$A$148,Barèmes!$G$65:$G$148),IF($A56=INT($D$8+$D$4),(LOOKUP($A56,Retraite!$A$7:$A$47,Retraite!$L$7:$L$47)/LOOKUP($A56,Barèmes!$A$65:$A$148,Barèmes!$G$65:$G$148))*(1-(INT($D$8)+1-$D$8)),0)))</f>
        <v>0</v>
      </c>
      <c r="I56" s="151">
        <f>IF($A56&lt;$D$5+$D$4,0,IF(AND($A56&gt;=$D$5,$A56&lt;=INT($D$8)-1+$D$4),LOOKUP($A56,Retraite!$A$7:$A$47,Retraite!$P$7:$P$47)/LOOKUP($A56,Barèmes!$A$65:$A$148,Barèmes!$G$65:$G$148),IF($A56=INT($D$8+$D$4),(LOOKUP($A56,Retraite!$A$7:$A$47,Retraite!$P$7:$P$47)/LOOKUP($A56,Barèmes!$A$65:$A$148,Barèmes!$G$65:$G$148))*(1-(INT($D$8)+1-$D$8)),0)))</f>
        <v>0</v>
      </c>
      <c r="J56" s="121">
        <f>IF($A56&lt;$D$5+$D$4,(LOOKUP($A56,Cot_droits!$A$17:$A$68,Cot_droits!$H$17:$H$68)+LOOKUP($A56,Cot_droits!$A$17:$A$68,Cot_droits!$L$17:$L$68))/LOOKUP($A56,Barèmes!$A$65:$A$148,Barèmes!$G$65:$G$148),0)</f>
        <v>5987.6082425100349</v>
      </c>
      <c r="L56" s="131">
        <f>IF($A56&lt;$D$5+$D$4,0,IF(AND($A56&gt;=$D$5,$A56&lt;=INT($D$8)-1+$D$4),LOOKUP($A56,Retraite!$A$7:$A$47,Retraite!$M$7:$M$47)/LOOKUP($A56,Barèmes!$A$65:$A$148,Barèmes!$G$65:$G$148),IF($A56=INT($D$8+$D$4),(LOOKUP($A56,Retraite!$A$7:$A$47,Retraite!$M$7:$M$47)/LOOKUP($A56,Barèmes!$A$65:$A$148,Barèmes!$G$65:$G$148))*(1-(INT($D$8)+1-$D$8)),0)))</f>
        <v>0</v>
      </c>
      <c r="M56" s="151">
        <f>IF($A56&lt;$D$5+$D$4,0,IF(AND($A56&gt;=$D$5,$A56&lt;=INT($D$8)-1+$D$4),LOOKUP($A56,Retraite!$A$7:$A$47,Retraite!$Q$7:$Q$47)/LOOKUP($A56,Barèmes!$A$65:$A$148,Barèmes!$G$65:$G$148),IF($A56=INT($D$8+$D$4),(LOOKUP($A56,Retraite!$A$7:$A$47,Retraite!$Q$7:$Q$47)/LOOKUP($A56,Barèmes!$A$65:$A$148,Barèmes!$G$65:$G$148))*(1-(INT($D$8)+1-$D$8)),0)))</f>
        <v>0</v>
      </c>
      <c r="N56" s="121">
        <f>IF($A56&lt;$D$5+$D$4,(LOOKUP($A56,Cot_droits!$A$17:$A$68,Cot_droits!$I$17:$I$68)+LOOKUP($A56,Cot_droits!$A$17:$A$68,Cot_droits!$J$17:$J$68)+LOOKUP($A56,Cot_droits!$A$17:$A$68,Cot_droits!$N$17:$N$68))/LOOKUP($A56,Barèmes!$A$65:$A$148,Barèmes!$G$65:$G$148),0)</f>
        <v>3381.3963393194695</v>
      </c>
      <c r="O56" s="115"/>
    </row>
    <row r="57" spans="1:15" s="43" customFormat="1" ht="15.75" customHeight="1" x14ac:dyDescent="0.25">
      <c r="A57" s="148">
        <f>TRI_prix!A51</f>
        <v>2056</v>
      </c>
      <c r="B57" s="121">
        <f>Cot_droits!C56/LOOKUP($A57,Barèmes!$A$65:$A$148,Barèmes!$G$65:$G$148)</f>
        <v>33095.023012008576</v>
      </c>
      <c r="C57" s="135"/>
      <c r="D57" s="131">
        <f>IF($A57&lt;$D$5+$D$4,0,IF(AND($A57&gt;=$D$5,$A57&lt;=INT($D$8)-1+$D$4),LOOKUP($A57,Retraite!$A$7:$A$47,Retraite!$K$7:$K$47)/LOOKUP($A57,Barèmes!$A$65:$A$148,Barèmes!$G$65:$G$148),IF($A57=INT($D$8+$D$4),(LOOKUP($A57,Retraite!$A$7:$A$47,Retraite!$K$7:$K$47)/LOOKUP($A57,Barèmes!$A$65:$A$148,Barèmes!$G$65:$G$148))*(1-(INT($D$8)+1-$D$8)),0)))</f>
        <v>0</v>
      </c>
      <c r="E57" s="151">
        <f>IF($A57&lt;$D$5+$D$4,0,IF(AND($A57&gt;=$D$5,$A57&lt;=INT($D$8)-1+$D$4),LOOKUP($A57,Retraite!$A$7:$A$47,Retraite!$N$7:$N$47)/LOOKUP($A57,Barèmes!$A$65:$A$148,Barèmes!$G$65:$G$148),IF($A57=INT($D$8+$D$4),(LOOKUP($A57,Retraite!$A$7:$A$47,Retraite!$N$7:$N$47)/LOOKUP($A57,Barèmes!$A$65:$A$148,Barèmes!$G$65:$G$148))*(1-(INT($D$8)+1-$D$8)),0)))</f>
        <v>0</v>
      </c>
      <c r="F57" s="121">
        <f>IF($A57&lt;$D$5+$D$4,LOOKUP($A57,Cot_droits!$A$17:$A$68,Cot_droits!$Q$17:$Q$68)/LOOKUP($A57,Barèmes!$A$65:$A$148,Barèmes!$G$65:$G$148),0)</f>
        <v>9191.8116913552603</v>
      </c>
      <c r="G57" s="115"/>
      <c r="H57" s="131">
        <f>IF($A57&lt;$D$5+$D$4,0,IF(AND($A57&gt;=$D$5,$A57&lt;=INT($D$8)-1+$D$4),LOOKUP($A57,Retraite!$A$7:$A$47,Retraite!$L$7:$L$47)/LOOKUP($A57,Barèmes!$A$65:$A$148,Barèmes!$G$65:$G$148),IF($A57=INT($D$8+$D$4),(LOOKUP($A57,Retraite!$A$7:$A$47,Retraite!$L$7:$L$47)/LOOKUP($A57,Barèmes!$A$65:$A$148,Barèmes!$G$65:$G$148))*(1-(INT($D$8)+1-$D$8)),0)))</f>
        <v>0</v>
      </c>
      <c r="I57" s="151">
        <f>IF($A57&lt;$D$5+$D$4,0,IF(AND($A57&gt;=$D$5,$A57&lt;=INT($D$8)-1+$D$4),LOOKUP($A57,Retraite!$A$7:$A$47,Retraite!$P$7:$P$47)/LOOKUP($A57,Barèmes!$A$65:$A$148,Barèmes!$G$65:$G$148),IF($A57=INT($D$8+$D$4),(LOOKUP($A57,Retraite!$A$7:$A$47,Retraite!$P$7:$P$47)/LOOKUP($A57,Barèmes!$A$65:$A$148,Barèmes!$G$65:$G$148))*(1-(INT($D$8)+1-$D$8)),0)))</f>
        <v>0</v>
      </c>
      <c r="J57" s="121">
        <f>IF($A57&lt;$D$5+$D$4,(LOOKUP($A57,Cot_droits!$A$17:$A$68,Cot_droits!$H$17:$H$68)+LOOKUP($A57,Cot_droits!$A$17:$A$68,Cot_droits!$L$17:$L$68))/LOOKUP($A57,Barèmes!$A$65:$A$148,Barèmes!$G$65:$G$148),0)</f>
        <v>5874.3665846315216</v>
      </c>
      <c r="L57" s="131">
        <f>IF($A57&lt;$D$5+$D$4,0,IF(AND($A57&gt;=$D$5,$A57&lt;=INT($D$8)-1+$D$4),LOOKUP($A57,Retraite!$A$7:$A$47,Retraite!$M$7:$M$47)/LOOKUP($A57,Barèmes!$A$65:$A$148,Barèmes!$G$65:$G$148),IF($A57=INT($D$8+$D$4),(LOOKUP($A57,Retraite!$A$7:$A$47,Retraite!$M$7:$M$47)/LOOKUP($A57,Barèmes!$A$65:$A$148,Barèmes!$G$65:$G$148))*(1-(INT($D$8)+1-$D$8)),0)))</f>
        <v>0</v>
      </c>
      <c r="M57" s="151">
        <f>IF($A57&lt;$D$5+$D$4,0,IF(AND($A57&gt;=$D$5,$A57&lt;=INT($D$8)-1+$D$4),LOOKUP($A57,Retraite!$A$7:$A$47,Retraite!$Q$7:$Q$47)/LOOKUP($A57,Barèmes!$A$65:$A$148,Barèmes!$G$65:$G$148),IF($A57=INT($D$8+$D$4),(LOOKUP($A57,Retraite!$A$7:$A$47,Retraite!$Q$7:$Q$47)/LOOKUP($A57,Barèmes!$A$65:$A$148,Barèmes!$G$65:$G$148))*(1-(INT($D$8)+1-$D$8)),0)))</f>
        <v>0</v>
      </c>
      <c r="N57" s="121">
        <f>IF($A57&lt;$D$5+$D$4,(LOOKUP($A57,Cot_droits!$A$17:$A$68,Cot_droits!$I$17:$I$68)+LOOKUP($A57,Cot_droits!$A$17:$A$68,Cot_droits!$J$17:$J$68)+LOOKUP($A57,Cot_droits!$A$17:$A$68,Cot_droits!$N$17:$N$68))/LOOKUP($A57,Barèmes!$A$65:$A$148,Barèmes!$G$65:$G$148),0)</f>
        <v>3317.4451067237396</v>
      </c>
      <c r="O57" s="115"/>
    </row>
    <row r="58" spans="1:15" s="43" customFormat="1" ht="15.75" customHeight="1" x14ac:dyDescent="0.25">
      <c r="A58" s="148">
        <f>TRI_prix!A52</f>
        <v>2057</v>
      </c>
      <c r="B58" s="121">
        <f>Cot_droits!C57/LOOKUP($A58,Barèmes!$A$65:$A$148,Barèmes!$G$65:$G$148)</f>
        <v>33421.333171496859</v>
      </c>
      <c r="C58" s="135"/>
      <c r="D58" s="131">
        <f>IF($A58&lt;$D$5+$D$4,0,IF(AND($A58&gt;=$D$5,$A58&lt;=INT($D$8)-1+$D$4),LOOKUP($A58,Retraite!$A$7:$A$47,Retraite!$K$7:$K$47)/LOOKUP($A58,Barèmes!$A$65:$A$148,Barèmes!$G$65:$G$148),IF($A58=INT($D$8+$D$4),(LOOKUP($A58,Retraite!$A$7:$A$47,Retraite!$K$7:$K$47)/LOOKUP($A58,Barèmes!$A$65:$A$148,Barèmes!$G$65:$G$148))*(1-(INT($D$8)+1-$D$8)),0)))</f>
        <v>0</v>
      </c>
      <c r="E58" s="151">
        <f>IF($A58&lt;$D$5+$D$4,0,IF(AND($A58&gt;=$D$5,$A58&lt;=INT($D$8)-1+$D$4),LOOKUP($A58,Retraite!$A$7:$A$47,Retraite!$N$7:$N$47)/LOOKUP($A58,Barèmes!$A$65:$A$148,Barèmes!$G$65:$G$148),IF($A58=INT($D$8+$D$4),(LOOKUP($A58,Retraite!$A$7:$A$47,Retraite!$N$7:$N$47)/LOOKUP($A58,Barèmes!$A$65:$A$148,Barèmes!$G$65:$G$148))*(1-(INT($D$8)+1-$D$8)),0)))</f>
        <v>0</v>
      </c>
      <c r="F58" s="121">
        <f>IF($A58&lt;$D$5+$D$4,LOOKUP($A58,Cot_droits!$A$17:$A$68,Cot_droits!$Q$17:$Q$68)/LOOKUP($A58,Barèmes!$A$65:$A$148,Barèmes!$G$65:$G$148),0)</f>
        <v>9282.4410750515362</v>
      </c>
      <c r="G58" s="115"/>
      <c r="H58" s="131">
        <f>IF($A58&lt;$D$5+$D$4,0,IF(AND($A58&gt;=$D$5,$A58&lt;=INT($D$8)-1+$D$4),LOOKUP($A58,Retraite!$A$7:$A$47,Retraite!$L$7:$L$47)/LOOKUP($A58,Barèmes!$A$65:$A$148,Barèmes!$G$65:$G$148),IF($A58=INT($D$8+$D$4),(LOOKUP($A58,Retraite!$A$7:$A$47,Retraite!$L$7:$L$47)/LOOKUP($A58,Barèmes!$A$65:$A$148,Barèmes!$G$65:$G$148))*(1-(INT($D$8)+1-$D$8)),0)))</f>
        <v>0</v>
      </c>
      <c r="I58" s="151">
        <f>IF($A58&lt;$D$5+$D$4,0,IF(AND($A58&gt;=$D$5,$A58&lt;=INT($D$8)-1+$D$4),LOOKUP($A58,Retraite!$A$7:$A$47,Retraite!$P$7:$P$47)/LOOKUP($A58,Barèmes!$A$65:$A$148,Barèmes!$G$65:$G$148),IF($A58=INT($D$8+$D$4),(LOOKUP($A58,Retraite!$A$7:$A$47,Retraite!$P$7:$P$47)/LOOKUP($A58,Barèmes!$A$65:$A$148,Barèmes!$G$65:$G$148))*(1-(INT($D$8)+1-$D$8)),0)))</f>
        <v>0</v>
      </c>
      <c r="J58" s="121">
        <f>IF($A58&lt;$D$5+$D$4,(LOOKUP($A58,Cot_droits!$A$17:$A$68,Cot_droits!$H$17:$H$68)+LOOKUP($A58,Cot_droits!$A$17:$A$68,Cot_droits!$L$17:$L$68))/LOOKUP($A58,Barèmes!$A$65:$A$148,Barèmes!$G$65:$G$148),0)</f>
        <v>5932.2866379406914</v>
      </c>
      <c r="L58" s="131">
        <f>IF($A58&lt;$D$5+$D$4,0,IF(AND($A58&gt;=$D$5,$A58&lt;=INT($D$8)-1+$D$4),LOOKUP($A58,Retraite!$A$7:$A$47,Retraite!$M$7:$M$47)/LOOKUP($A58,Barèmes!$A$65:$A$148,Barèmes!$G$65:$G$148),IF($A58=INT($D$8+$D$4),(LOOKUP($A58,Retraite!$A$7:$A$47,Retraite!$M$7:$M$47)/LOOKUP($A58,Barèmes!$A$65:$A$148,Barèmes!$G$65:$G$148))*(1-(INT($D$8)+1-$D$8)),0)))</f>
        <v>0</v>
      </c>
      <c r="M58" s="151">
        <f>IF($A58&lt;$D$5+$D$4,0,IF(AND($A58&gt;=$D$5,$A58&lt;=INT($D$8)-1+$D$4),LOOKUP($A58,Retraite!$A$7:$A$47,Retraite!$Q$7:$Q$47)/LOOKUP($A58,Barèmes!$A$65:$A$148,Barèmes!$G$65:$G$148),IF($A58=INT($D$8+$D$4),(LOOKUP($A58,Retraite!$A$7:$A$47,Retraite!$Q$7:$Q$47)/LOOKUP($A58,Barèmes!$A$65:$A$148,Barèmes!$G$65:$G$148))*(1-(INT($D$8)+1-$D$8)),0)))</f>
        <v>0</v>
      </c>
      <c r="N58" s="121">
        <f>IF($A58&lt;$D$5+$D$4,(LOOKUP($A58,Cot_droits!$A$17:$A$68,Cot_droits!$I$17:$I$68)+LOOKUP($A58,Cot_droits!$A$17:$A$68,Cot_droits!$J$17:$J$68)+LOOKUP($A58,Cot_droits!$A$17:$A$68,Cot_droits!$N$17:$N$68))/LOOKUP($A58,Barèmes!$A$65:$A$148,Barèmes!$G$65:$G$148),0)</f>
        <v>3350.1544371108453</v>
      </c>
      <c r="O58" s="115"/>
    </row>
    <row r="59" spans="1:15" s="43" customFormat="1" ht="15.75" customHeight="1" x14ac:dyDescent="0.25">
      <c r="A59" s="148">
        <f>TRI_prix!A53</f>
        <v>2058</v>
      </c>
      <c r="B59" s="121">
        <f>Cot_droits!C58/LOOKUP($A59,Barèmes!$A$65:$A$148,Barèmes!$G$65:$G$148)</f>
        <v>33673.859849838074</v>
      </c>
      <c r="C59" s="135"/>
      <c r="D59" s="131">
        <f>IF($A59&lt;$D$5+$D$4,0,IF(AND($A59&gt;=$D$5,$A59&lt;=INT($D$8)-1+$D$4),LOOKUP($A59,Retraite!$A$7:$A$47,Retraite!$K$7:$K$47)/LOOKUP($A59,Barèmes!$A$65:$A$148,Barèmes!$G$65:$G$148),IF($A59=INT($D$8+$D$4),(LOOKUP($A59,Retraite!$A$7:$A$47,Retraite!$K$7:$K$47)/LOOKUP($A59,Barèmes!$A$65:$A$148,Barèmes!$G$65:$G$148))*(1-(INT($D$8)+1-$D$8)),0)))</f>
        <v>0</v>
      </c>
      <c r="E59" s="151">
        <f>IF($A59&lt;$D$5+$D$4,0,IF(AND($A59&gt;=$D$5,$A59&lt;=INT($D$8)-1+$D$4),LOOKUP($A59,Retraite!$A$7:$A$47,Retraite!$N$7:$N$47)/LOOKUP($A59,Barèmes!$A$65:$A$148,Barèmes!$G$65:$G$148),IF($A59=INT($D$8+$D$4),(LOOKUP($A59,Retraite!$A$7:$A$47,Retraite!$N$7:$N$47)/LOOKUP($A59,Barèmes!$A$65:$A$148,Barèmes!$G$65:$G$148))*(1-(INT($D$8)+1-$D$8)),0)))</f>
        <v>0</v>
      </c>
      <c r="F59" s="121">
        <f>IF($A59&lt;$D$5+$D$4,LOOKUP($A59,Cot_droits!$A$17:$A$68,Cot_droits!$Q$17:$Q$68)/LOOKUP($A59,Barèmes!$A$65:$A$148,Barèmes!$G$65:$G$148),0)</f>
        <v>9352.5778346940278</v>
      </c>
      <c r="G59" s="115"/>
      <c r="H59" s="131">
        <f>IF($A59&lt;$D$5+$D$4,0,IF(AND($A59&gt;=$D$5,$A59&lt;=INT($D$8)-1+$D$4),LOOKUP($A59,Retraite!$A$7:$A$47,Retraite!$L$7:$L$47)/LOOKUP($A59,Barèmes!$A$65:$A$148,Barèmes!$G$65:$G$148),IF($A59=INT($D$8+$D$4),(LOOKUP($A59,Retraite!$A$7:$A$47,Retraite!$L$7:$L$47)/LOOKUP($A59,Barèmes!$A$65:$A$148,Barèmes!$G$65:$G$148))*(1-(INT($D$8)+1-$D$8)),0)))</f>
        <v>0</v>
      </c>
      <c r="I59" s="151">
        <f>IF($A59&lt;$D$5+$D$4,0,IF(AND($A59&gt;=$D$5,$A59&lt;=INT($D$8)-1+$D$4),LOOKUP($A59,Retraite!$A$7:$A$47,Retraite!$P$7:$P$47)/LOOKUP($A59,Barèmes!$A$65:$A$148,Barèmes!$G$65:$G$148),IF($A59=INT($D$8+$D$4),(LOOKUP($A59,Retraite!$A$7:$A$47,Retraite!$P$7:$P$47)/LOOKUP($A59,Barèmes!$A$65:$A$148,Barèmes!$G$65:$G$148))*(1-(INT($D$8)+1-$D$8)),0)))</f>
        <v>0</v>
      </c>
      <c r="J59" s="121">
        <f>IF($A59&lt;$D$5+$D$4,(LOOKUP($A59,Cot_droits!$A$17:$A$68,Cot_droits!$H$17:$H$68)+LOOKUP($A59,Cot_droits!$A$17:$A$68,Cot_droits!$L$17:$L$68))/LOOKUP($A59,Barèmes!$A$65:$A$148,Barèmes!$G$65:$G$148),0)</f>
        <v>5977.1101233462587</v>
      </c>
      <c r="L59" s="131">
        <f>IF($A59&lt;$D$5+$D$4,0,IF(AND($A59&gt;=$D$5,$A59&lt;=INT($D$8)-1+$D$4),LOOKUP($A59,Retraite!$A$7:$A$47,Retraite!$M$7:$M$47)/LOOKUP($A59,Barèmes!$A$65:$A$148,Barèmes!$G$65:$G$148),IF($A59=INT($D$8+$D$4),(LOOKUP($A59,Retraite!$A$7:$A$47,Retraite!$M$7:$M$47)/LOOKUP($A59,Barèmes!$A$65:$A$148,Barèmes!$G$65:$G$148))*(1-(INT($D$8)+1-$D$8)),0)))</f>
        <v>0</v>
      </c>
      <c r="M59" s="151">
        <f>IF($A59&lt;$D$5+$D$4,0,IF(AND($A59&gt;=$D$5,$A59&lt;=INT($D$8)-1+$D$4),LOOKUP($A59,Retraite!$A$7:$A$47,Retraite!$Q$7:$Q$47)/LOOKUP($A59,Barèmes!$A$65:$A$148,Barèmes!$G$65:$G$148),IF($A59=INT($D$8+$D$4),(LOOKUP($A59,Retraite!$A$7:$A$47,Retraite!$Q$7:$Q$47)/LOOKUP($A59,Barèmes!$A$65:$A$148,Barèmes!$G$65:$G$148))*(1-(INT($D$8)+1-$D$8)),0)))</f>
        <v>0</v>
      </c>
      <c r="N59" s="121">
        <f>IF($A59&lt;$D$5+$D$4,(LOOKUP($A59,Cot_droits!$A$17:$A$68,Cot_droits!$I$17:$I$68)+LOOKUP($A59,Cot_droits!$A$17:$A$68,Cot_droits!$J$17:$J$68)+LOOKUP($A59,Cot_droits!$A$17:$A$68,Cot_droits!$N$17:$N$68))/LOOKUP($A59,Barèmes!$A$65:$A$148,Barèmes!$G$65:$G$148),0)</f>
        <v>3375.4677113477687</v>
      </c>
      <c r="O59" s="115"/>
    </row>
    <row r="60" spans="1:15" s="43" customFormat="1" ht="15.75" customHeight="1" x14ac:dyDescent="0.25">
      <c r="A60" s="148">
        <f>TRI_prix!A54</f>
        <v>2059</v>
      </c>
      <c r="B60" s="121">
        <f>Cot_droits!C59/LOOKUP($A60,Barèmes!$A$65:$A$148,Barèmes!$G$65:$G$148)</f>
        <v>33702.885221834636</v>
      </c>
      <c r="C60" s="135"/>
      <c r="D60" s="131">
        <f>IF($A60&lt;$D$5+$D$4,0,IF(AND($A60&gt;=$D$5,$A60&lt;=INT($D$8)-1+$D$4),LOOKUP($A60,Retraite!$A$7:$A$47,Retraite!$K$7:$K$47)/LOOKUP($A60,Barèmes!$A$65:$A$148,Barèmes!$G$65:$G$148),IF($A60=INT($D$8+$D$4),(LOOKUP($A60,Retraite!$A$7:$A$47,Retraite!$K$7:$K$47)/LOOKUP($A60,Barèmes!$A$65:$A$148,Barèmes!$G$65:$G$148))*(1-(INT($D$8)+1-$D$8)),0)))</f>
        <v>0</v>
      </c>
      <c r="E60" s="151">
        <f>IF($A60&lt;$D$5+$D$4,0,IF(AND($A60&gt;=$D$5,$A60&lt;=INT($D$8)-1+$D$4),LOOKUP($A60,Retraite!$A$7:$A$47,Retraite!$N$7:$N$47)/LOOKUP($A60,Barèmes!$A$65:$A$148,Barèmes!$G$65:$G$148),IF($A60=INT($D$8+$D$4),(LOOKUP($A60,Retraite!$A$7:$A$47,Retraite!$N$7:$N$47)/LOOKUP($A60,Barèmes!$A$65:$A$148,Barèmes!$G$65:$G$148))*(1-(INT($D$8)+1-$D$8)),0)))</f>
        <v>0</v>
      </c>
      <c r="F60" s="121">
        <f>IF($A60&lt;$D$5+$D$4,LOOKUP($A60,Cot_droits!$A$17:$A$68,Cot_droits!$Q$17:$Q$68)/LOOKUP($A60,Barèmes!$A$65:$A$148,Barèmes!$G$65:$G$148),0)</f>
        <v>9360.639341512353</v>
      </c>
      <c r="G60" s="115"/>
      <c r="H60" s="131">
        <f>IF($A60&lt;$D$5+$D$4,0,IF(AND($A60&gt;=$D$5,$A60&lt;=INT($D$8)-1+$D$4),LOOKUP($A60,Retraite!$A$7:$A$47,Retraite!$L$7:$L$47)/LOOKUP($A60,Barèmes!$A$65:$A$148,Barèmes!$G$65:$G$148),IF($A60=INT($D$8+$D$4),(LOOKUP($A60,Retraite!$A$7:$A$47,Retraite!$L$7:$L$47)/LOOKUP($A60,Barèmes!$A$65:$A$148,Barèmes!$G$65:$G$148))*(1-(INT($D$8)+1-$D$8)),0)))</f>
        <v>0</v>
      </c>
      <c r="I60" s="151">
        <f>IF($A60&lt;$D$5+$D$4,0,IF(AND($A60&gt;=$D$5,$A60&lt;=INT($D$8)-1+$D$4),LOOKUP($A60,Retraite!$A$7:$A$47,Retraite!$P$7:$P$47)/LOOKUP($A60,Barèmes!$A$65:$A$148,Barèmes!$G$65:$G$148),IF($A60=INT($D$8+$D$4),(LOOKUP($A60,Retraite!$A$7:$A$47,Retraite!$P$7:$P$47)/LOOKUP($A60,Barèmes!$A$65:$A$148,Barèmes!$G$65:$G$148))*(1-(INT($D$8)+1-$D$8)),0)))</f>
        <v>0</v>
      </c>
      <c r="J60" s="121">
        <f>IF($A60&lt;$D$5+$D$4,(LOOKUP($A60,Cot_droits!$A$17:$A$68,Cot_droits!$H$17:$H$68)+LOOKUP($A60,Cot_droits!$A$17:$A$68,Cot_droits!$L$17:$L$68))/LOOKUP($A60,Barèmes!$A$65:$A$148,Barèmes!$G$65:$G$148),0)</f>
        <v>5982.2621268756484</v>
      </c>
      <c r="L60" s="131">
        <f>IF($A60&lt;$D$5+$D$4,0,IF(AND($A60&gt;=$D$5,$A60&lt;=INT($D$8)-1+$D$4),LOOKUP($A60,Retraite!$A$7:$A$47,Retraite!$M$7:$M$47)/LOOKUP($A60,Barèmes!$A$65:$A$148,Barèmes!$G$65:$G$148),IF($A60=INT($D$8+$D$4),(LOOKUP($A60,Retraite!$A$7:$A$47,Retraite!$M$7:$M$47)/LOOKUP($A60,Barèmes!$A$65:$A$148,Barèmes!$G$65:$G$148))*(1-(INT($D$8)+1-$D$8)),0)))</f>
        <v>0</v>
      </c>
      <c r="M60" s="151">
        <f>IF($A60&lt;$D$5+$D$4,0,IF(AND($A60&gt;=$D$5,$A60&lt;=INT($D$8)-1+$D$4),LOOKUP($A60,Retraite!$A$7:$A$47,Retraite!$Q$7:$Q$47)/LOOKUP($A60,Barèmes!$A$65:$A$148,Barèmes!$G$65:$G$148),IF($A60=INT($D$8+$D$4),(LOOKUP($A60,Retraite!$A$7:$A$47,Retraite!$Q$7:$Q$47)/LOOKUP($A60,Barèmes!$A$65:$A$148,Barèmes!$G$65:$G$148))*(1-(INT($D$8)+1-$D$8)),0)))</f>
        <v>0</v>
      </c>
      <c r="N60" s="121">
        <f>IF($A60&lt;$D$5+$D$4,(LOOKUP($A60,Cot_droits!$A$17:$A$68,Cot_droits!$I$17:$I$68)+LOOKUP($A60,Cot_droits!$A$17:$A$68,Cot_droits!$J$17:$J$68)+LOOKUP($A60,Cot_droits!$A$17:$A$68,Cot_droits!$N$17:$N$68))/LOOKUP($A60,Barèmes!$A$65:$A$148,Barèmes!$G$65:$G$148),0)</f>
        <v>3378.3772146367041</v>
      </c>
      <c r="O60" s="115"/>
    </row>
    <row r="61" spans="1:15" s="43" customFormat="1" ht="15.75" customHeight="1" x14ac:dyDescent="0.25">
      <c r="A61" s="148">
        <f>TRI_prix!A55</f>
        <v>2060</v>
      </c>
      <c r="B61" s="121">
        <f>Cot_droits!C60/LOOKUP($A61,Barèmes!$A$65:$A$148,Barèmes!$G$65:$G$148)</f>
        <v>33790.720784306221</v>
      </c>
      <c r="C61" s="135"/>
      <c r="D61" s="131">
        <f>IF($A61&lt;$D$5+$D$4,0,IF(AND($A61&gt;=$D$5,$A61&lt;=INT($D$8)-1+$D$4),LOOKUP($A61,Retraite!$A$7:$A$47,Retraite!$K$7:$K$47)/LOOKUP($A61,Barèmes!$A$65:$A$148,Barèmes!$G$65:$G$148),IF($A61=INT($D$8+$D$4),(LOOKUP($A61,Retraite!$A$7:$A$47,Retraite!$K$7:$K$47)/LOOKUP($A61,Barèmes!$A$65:$A$148,Barèmes!$G$65:$G$148))*(1-(INT($D$8)+1-$D$8)),0)))</f>
        <v>0</v>
      </c>
      <c r="E61" s="151">
        <f>IF($A61&lt;$D$5+$D$4,0,IF(AND($A61&gt;=$D$5,$A61&lt;=INT($D$8)-1+$D$4),LOOKUP($A61,Retraite!$A$7:$A$47,Retraite!$N$7:$N$47)/LOOKUP($A61,Barèmes!$A$65:$A$148,Barèmes!$G$65:$G$148),IF($A61=INT($D$8+$D$4),(LOOKUP($A61,Retraite!$A$7:$A$47,Retraite!$N$7:$N$47)/LOOKUP($A61,Barèmes!$A$65:$A$148,Barèmes!$G$65:$G$148))*(1-(INT($D$8)+1-$D$8)),0)))</f>
        <v>0</v>
      </c>
      <c r="F61" s="121">
        <f>IF($A61&lt;$D$5+$D$4,LOOKUP($A61,Cot_droits!$A$17:$A$68,Cot_droits!$Q$17:$Q$68)/LOOKUP($A61,Barèmes!$A$65:$A$148,Barèmes!$G$65:$G$148),0)</f>
        <v>9385.0347906332099</v>
      </c>
      <c r="G61" s="115"/>
      <c r="H61" s="131">
        <f>IF($A61&lt;$D$5+$D$4,0,IF(AND($A61&gt;=$D$5,$A61&lt;=INT($D$8)-1+$D$4),LOOKUP($A61,Retraite!$A$7:$A$47,Retraite!$L$7:$L$47)/LOOKUP($A61,Barèmes!$A$65:$A$148,Barèmes!$G$65:$G$148),IF($A61=INT($D$8+$D$4),(LOOKUP($A61,Retraite!$A$7:$A$47,Retraite!$L$7:$L$47)/LOOKUP($A61,Barèmes!$A$65:$A$148,Barèmes!$G$65:$G$148))*(1-(INT($D$8)+1-$D$8)),0)))</f>
        <v>0</v>
      </c>
      <c r="I61" s="151">
        <f>IF($A61&lt;$D$5+$D$4,0,IF(AND($A61&gt;=$D$5,$A61&lt;=INT($D$8)-1+$D$4),LOOKUP($A61,Retraite!$A$7:$A$47,Retraite!$P$7:$P$47)/LOOKUP($A61,Barèmes!$A$65:$A$148,Barèmes!$G$65:$G$148),IF($A61=INT($D$8+$D$4),(LOOKUP($A61,Retraite!$A$7:$A$47,Retraite!$P$7:$P$47)/LOOKUP($A61,Barèmes!$A$65:$A$148,Barèmes!$G$65:$G$148))*(1-(INT($D$8)+1-$D$8)),0)))</f>
        <v>0</v>
      </c>
      <c r="J61" s="121">
        <f>IF($A61&lt;$D$5+$D$4,(LOOKUP($A61,Cot_droits!$A$17:$A$68,Cot_droits!$H$17:$H$68)+LOOKUP($A61,Cot_droits!$A$17:$A$68,Cot_droits!$L$17:$L$68))/LOOKUP($A61,Barèmes!$A$65:$A$148,Barèmes!$G$65:$G$148),0)</f>
        <v>5997.8529392143537</v>
      </c>
      <c r="L61" s="131">
        <f>IF($A61&lt;$D$5+$D$4,0,IF(AND($A61&gt;=$D$5,$A61&lt;=INT($D$8)-1+$D$4),LOOKUP($A61,Retraite!$A$7:$A$47,Retraite!$M$7:$M$47)/LOOKUP($A61,Barèmes!$A$65:$A$148,Barèmes!$G$65:$G$148),IF($A61=INT($D$8+$D$4),(LOOKUP($A61,Retraite!$A$7:$A$47,Retraite!$M$7:$M$47)/LOOKUP($A61,Barèmes!$A$65:$A$148,Barèmes!$G$65:$G$148))*(1-(INT($D$8)+1-$D$8)),0)))</f>
        <v>0</v>
      </c>
      <c r="M61" s="151">
        <f>IF($A61&lt;$D$5+$D$4,0,IF(AND($A61&gt;=$D$5,$A61&lt;=INT($D$8)-1+$D$4),LOOKUP($A61,Retraite!$A$7:$A$47,Retraite!$Q$7:$Q$47)/LOOKUP($A61,Barèmes!$A$65:$A$148,Barèmes!$G$65:$G$148),IF($A61=INT($D$8+$D$4),(LOOKUP($A61,Retraite!$A$7:$A$47,Retraite!$Q$7:$Q$47)/LOOKUP($A61,Barèmes!$A$65:$A$148,Barèmes!$G$65:$G$148))*(1-(INT($D$8)+1-$D$8)),0)))</f>
        <v>0</v>
      </c>
      <c r="N61" s="121">
        <f>IF($A61&lt;$D$5+$D$4,(LOOKUP($A61,Cot_droits!$A$17:$A$68,Cot_droits!$I$17:$I$68)+LOOKUP($A61,Cot_droits!$A$17:$A$68,Cot_droits!$J$17:$J$68)+LOOKUP($A61,Cot_droits!$A$17:$A$68,Cot_droits!$N$17:$N$68))/LOOKUP($A61,Barèmes!$A$65:$A$148,Barèmes!$G$65:$G$148),0)</f>
        <v>3387.1818514188558</v>
      </c>
      <c r="O61" s="115"/>
    </row>
    <row r="62" spans="1:15" s="43" customFormat="1" ht="15.75" customHeight="1" x14ac:dyDescent="0.25">
      <c r="A62" s="148">
        <f>TRI_prix!A56</f>
        <v>2061</v>
      </c>
      <c r="B62" s="121">
        <f>Cot_droits!C61/LOOKUP($A62,Barèmes!$A$65:$A$148,Barèmes!$G$65:$G$148)</f>
        <v>33790.720784306221</v>
      </c>
      <c r="C62" s="135"/>
      <c r="D62" s="131">
        <f>IF($A62&lt;$D$5+$D$4,0,IF(AND($A62&gt;=$D$5,$A62&lt;=INT($D$8)-1+$D$4),LOOKUP($A62,Retraite!$A$7:$A$47,Retraite!$K$7:$K$47)/LOOKUP($A62,Barèmes!$A$65:$A$148,Barèmes!$G$65:$G$148),IF($A62=INT($D$8+$D$4),(LOOKUP($A62,Retraite!$A$7:$A$47,Retraite!$K$7:$K$47)/LOOKUP($A62,Barèmes!$A$65:$A$148,Barèmes!$G$65:$G$148))*(1-(INT($D$8)+1-$D$8)),0)))</f>
        <v>0</v>
      </c>
      <c r="E62" s="151">
        <f>IF($A62&lt;$D$5+$D$4,0,IF(AND($A62&gt;=$D$5,$A62&lt;=INT($D$8)-1+$D$4),LOOKUP($A62,Retraite!$A$7:$A$47,Retraite!$N$7:$N$47)/LOOKUP($A62,Barèmes!$A$65:$A$148,Barèmes!$G$65:$G$148),IF($A62=INT($D$8+$D$4),(LOOKUP($A62,Retraite!$A$7:$A$47,Retraite!$N$7:$N$47)/LOOKUP($A62,Barèmes!$A$65:$A$148,Barèmes!$G$65:$G$148))*(1-(INT($D$8)+1-$D$8)),0)))</f>
        <v>0</v>
      </c>
      <c r="F62" s="121">
        <f>IF($A62&lt;$D$5+$D$4,LOOKUP($A62,Cot_droits!$A$17:$A$68,Cot_droits!$Q$17:$Q$68)/LOOKUP($A62,Barèmes!$A$65:$A$148,Barèmes!$G$65:$G$148),0)</f>
        <v>9385.0347906332099</v>
      </c>
      <c r="G62" s="115"/>
      <c r="H62" s="131">
        <f>IF($A62&lt;$D$5+$D$4,0,IF(AND($A62&gt;=$D$5,$A62&lt;=INT($D$8)-1+$D$4),LOOKUP($A62,Retraite!$A$7:$A$47,Retraite!$L$7:$L$47)/LOOKUP($A62,Barèmes!$A$65:$A$148,Barèmes!$G$65:$G$148),IF($A62=INT($D$8+$D$4),(LOOKUP($A62,Retraite!$A$7:$A$47,Retraite!$L$7:$L$47)/LOOKUP($A62,Barèmes!$A$65:$A$148,Barèmes!$G$65:$G$148))*(1-(INT($D$8)+1-$D$8)),0)))</f>
        <v>0</v>
      </c>
      <c r="I62" s="151">
        <f>IF($A62&lt;$D$5+$D$4,0,IF(AND($A62&gt;=$D$5,$A62&lt;=INT($D$8)-1+$D$4),LOOKUP($A62,Retraite!$A$7:$A$47,Retraite!$P$7:$P$47)/LOOKUP($A62,Barèmes!$A$65:$A$148,Barèmes!$G$65:$G$148),IF($A62=INT($D$8+$D$4),(LOOKUP($A62,Retraite!$A$7:$A$47,Retraite!$P$7:$P$47)/LOOKUP($A62,Barèmes!$A$65:$A$148,Barèmes!$G$65:$G$148))*(1-(INT($D$8)+1-$D$8)),0)))</f>
        <v>0</v>
      </c>
      <c r="J62" s="121">
        <f>IF($A62&lt;$D$5+$D$4,(LOOKUP($A62,Cot_droits!$A$17:$A$68,Cot_droits!$H$17:$H$68)+LOOKUP($A62,Cot_droits!$A$17:$A$68,Cot_droits!$L$17:$L$68))/LOOKUP($A62,Barèmes!$A$65:$A$148,Barèmes!$G$65:$G$148),0)</f>
        <v>5997.8529392143546</v>
      </c>
      <c r="L62" s="131">
        <f>IF($A62&lt;$D$5+$D$4,0,IF(AND($A62&gt;=$D$5,$A62&lt;=INT($D$8)-1+$D$4),LOOKUP($A62,Retraite!$A$7:$A$47,Retraite!$M$7:$M$47)/LOOKUP($A62,Barèmes!$A$65:$A$148,Barèmes!$G$65:$G$148),IF($A62=INT($D$8+$D$4),(LOOKUP($A62,Retraite!$A$7:$A$47,Retraite!$M$7:$M$47)/LOOKUP($A62,Barèmes!$A$65:$A$148,Barèmes!$G$65:$G$148))*(1-(INT($D$8)+1-$D$8)),0)))</f>
        <v>0</v>
      </c>
      <c r="M62" s="151">
        <f>IF($A62&lt;$D$5+$D$4,0,IF(AND($A62&gt;=$D$5,$A62&lt;=INT($D$8)-1+$D$4),LOOKUP($A62,Retraite!$A$7:$A$47,Retraite!$Q$7:$Q$47)/LOOKUP($A62,Barèmes!$A$65:$A$148,Barèmes!$G$65:$G$148),IF($A62=INT($D$8+$D$4),(LOOKUP($A62,Retraite!$A$7:$A$47,Retraite!$Q$7:$Q$47)/LOOKUP($A62,Barèmes!$A$65:$A$148,Barèmes!$G$65:$G$148))*(1-(INT($D$8)+1-$D$8)),0)))</f>
        <v>0</v>
      </c>
      <c r="N62" s="121">
        <f>IF($A62&lt;$D$5+$D$4,(LOOKUP($A62,Cot_droits!$A$17:$A$68,Cot_droits!$I$17:$I$68)+LOOKUP($A62,Cot_droits!$A$17:$A$68,Cot_droits!$J$17:$J$68)+LOOKUP($A62,Cot_droits!$A$17:$A$68,Cot_droits!$N$17:$N$68))/LOOKUP($A62,Barèmes!$A$65:$A$148,Barèmes!$G$65:$G$148),0)</f>
        <v>3387.1818514188558</v>
      </c>
      <c r="O62" s="115"/>
    </row>
    <row r="63" spans="1:15" s="43" customFormat="1" ht="15.75" customHeight="1" x14ac:dyDescent="0.25">
      <c r="A63" s="148">
        <f>TRI_prix!A57</f>
        <v>2062</v>
      </c>
      <c r="B63" s="121">
        <f>Cot_droits!C62/LOOKUP($A63,Barèmes!$A$65:$A$148,Barèmes!$G$65:$G$148)</f>
        <v>33790.720784306228</v>
      </c>
      <c r="C63" s="135"/>
      <c r="D63" s="131">
        <f>IF($A63&lt;$D$5+$D$4,0,IF(AND($A63&gt;=$D$5,$A63&lt;=INT($D$8)-1+$D$4),LOOKUP($A63,Retraite!$A$7:$A$47,Retraite!$K$7:$K$47)/LOOKUP($A63,Barèmes!$A$65:$A$148,Barèmes!$G$65:$G$148),IF($A63=INT($D$8+$D$4),(LOOKUP($A63,Retraite!$A$7:$A$47,Retraite!$K$7:$K$47)/LOOKUP($A63,Barèmes!$A$65:$A$148,Barèmes!$G$65:$G$148))*(1-(INT($D$8)+1-$D$8)),0)))</f>
        <v>0</v>
      </c>
      <c r="E63" s="151">
        <f>IF($A63&lt;$D$5+$D$4,0,IF(AND($A63&gt;=$D$5,$A63&lt;=INT($D$8)-1+$D$4),LOOKUP($A63,Retraite!$A$7:$A$47,Retraite!$N$7:$N$47)/LOOKUP($A63,Barèmes!$A$65:$A$148,Barèmes!$G$65:$G$148),IF($A63=INT($D$8+$D$4),(LOOKUP($A63,Retraite!$A$7:$A$47,Retraite!$N$7:$N$47)/LOOKUP($A63,Barèmes!$A$65:$A$148,Barèmes!$G$65:$G$148))*(1-(INT($D$8)+1-$D$8)),0)))</f>
        <v>0</v>
      </c>
      <c r="F63" s="121">
        <f>IF($A63&lt;$D$5+$D$4,LOOKUP($A63,Cot_droits!$A$17:$A$68,Cot_droits!$Q$17:$Q$68)/LOOKUP($A63,Barèmes!$A$65:$A$148,Barèmes!$G$65:$G$148),0)</f>
        <v>9385.0347906332117</v>
      </c>
      <c r="G63" s="115"/>
      <c r="H63" s="131">
        <f>IF($A63&lt;$D$5+$D$4,0,IF(AND($A63&gt;=$D$5,$A63&lt;=INT($D$8)-1+$D$4),LOOKUP($A63,Retraite!$A$7:$A$47,Retraite!$L$7:$L$47)/LOOKUP($A63,Barèmes!$A$65:$A$148,Barèmes!$G$65:$G$148),IF($A63=INT($D$8+$D$4),(LOOKUP($A63,Retraite!$A$7:$A$47,Retraite!$L$7:$L$47)/LOOKUP($A63,Barèmes!$A$65:$A$148,Barèmes!$G$65:$G$148))*(1-(INT($D$8)+1-$D$8)),0)))</f>
        <v>0</v>
      </c>
      <c r="I63" s="151">
        <f>IF($A63&lt;$D$5+$D$4,0,IF(AND($A63&gt;=$D$5,$A63&lt;=INT($D$8)-1+$D$4),LOOKUP($A63,Retraite!$A$7:$A$47,Retraite!$P$7:$P$47)/LOOKUP($A63,Barèmes!$A$65:$A$148,Barèmes!$G$65:$G$148),IF($A63=INT($D$8+$D$4),(LOOKUP($A63,Retraite!$A$7:$A$47,Retraite!$P$7:$P$47)/LOOKUP($A63,Barèmes!$A$65:$A$148,Barèmes!$G$65:$G$148))*(1-(INT($D$8)+1-$D$8)),0)))</f>
        <v>0</v>
      </c>
      <c r="J63" s="121">
        <f>IF($A63&lt;$D$5+$D$4,(LOOKUP($A63,Cot_droits!$A$17:$A$68,Cot_droits!$H$17:$H$68)+LOOKUP($A63,Cot_droits!$A$17:$A$68,Cot_droits!$L$17:$L$68))/LOOKUP($A63,Barèmes!$A$65:$A$148,Barèmes!$G$65:$G$148),0)</f>
        <v>5997.8529392143546</v>
      </c>
      <c r="L63" s="131">
        <f>IF($A63&lt;$D$5+$D$4,0,IF(AND($A63&gt;=$D$5,$A63&lt;=INT($D$8)-1+$D$4),LOOKUP($A63,Retraite!$A$7:$A$47,Retraite!$M$7:$M$47)/LOOKUP($A63,Barèmes!$A$65:$A$148,Barèmes!$G$65:$G$148),IF($A63=INT($D$8+$D$4),(LOOKUP($A63,Retraite!$A$7:$A$47,Retraite!$M$7:$M$47)/LOOKUP($A63,Barèmes!$A$65:$A$148,Barèmes!$G$65:$G$148))*(1-(INT($D$8)+1-$D$8)),0)))</f>
        <v>0</v>
      </c>
      <c r="M63" s="151">
        <f>IF($A63&lt;$D$5+$D$4,0,IF(AND($A63&gt;=$D$5,$A63&lt;=INT($D$8)-1+$D$4),LOOKUP($A63,Retraite!$A$7:$A$47,Retraite!$Q$7:$Q$47)/LOOKUP($A63,Barèmes!$A$65:$A$148,Barèmes!$G$65:$G$148),IF($A63=INT($D$8+$D$4),(LOOKUP($A63,Retraite!$A$7:$A$47,Retraite!$Q$7:$Q$47)/LOOKUP($A63,Barèmes!$A$65:$A$148,Barèmes!$G$65:$G$148))*(1-(INT($D$8)+1-$D$8)),0)))</f>
        <v>0</v>
      </c>
      <c r="N63" s="121">
        <f>IF($A63&lt;$D$5+$D$4,(LOOKUP($A63,Cot_droits!$A$17:$A$68,Cot_droits!$I$17:$I$68)+LOOKUP($A63,Cot_droits!$A$17:$A$68,Cot_droits!$J$17:$J$68)+LOOKUP($A63,Cot_droits!$A$17:$A$68,Cot_droits!$N$17:$N$68))/LOOKUP($A63,Barèmes!$A$65:$A$148,Barèmes!$G$65:$G$148),0)</f>
        <v>3387.1818514188562</v>
      </c>
      <c r="O63" s="115"/>
    </row>
    <row r="64" spans="1:15" s="43" customFormat="1" ht="15.75" customHeight="1" x14ac:dyDescent="0.25">
      <c r="A64" s="148">
        <f>TRI_prix!A58</f>
        <v>2063</v>
      </c>
      <c r="B64" s="121">
        <f>Cot_droits!C63/LOOKUP($A64,Barèmes!$A$65:$A$148,Barèmes!$G$65:$G$148)</f>
        <v>33790.720784306221</v>
      </c>
      <c r="C64" s="135"/>
      <c r="D64" s="131">
        <f>IF($A64&lt;$D$5+$D$4,0,IF(AND($A64&gt;=$D$5,$A64&lt;=INT($D$8)-1+$D$4),LOOKUP($A64,Retraite!$A$7:$A$47,Retraite!$K$7:$K$47)/LOOKUP($A64,Barèmes!$A$65:$A$148,Barèmes!$G$65:$G$148),IF($A64=INT($D$8+$D$4),(LOOKUP($A64,Retraite!$A$7:$A$47,Retraite!$K$7:$K$47)/LOOKUP($A64,Barèmes!$A$65:$A$148,Barèmes!$G$65:$G$148))*(1-(INT($D$8)+1-$D$8)),0)))</f>
        <v>0</v>
      </c>
      <c r="E64" s="151">
        <f>IF($A64&lt;$D$5+$D$4,0,IF(AND($A64&gt;=$D$5,$A64&lt;=INT($D$8)-1+$D$4),LOOKUP($A64,Retraite!$A$7:$A$47,Retraite!$N$7:$N$47)/LOOKUP($A64,Barèmes!$A$65:$A$148,Barèmes!$G$65:$G$148),IF($A64=INT($D$8+$D$4),(LOOKUP($A64,Retraite!$A$7:$A$47,Retraite!$N$7:$N$47)/LOOKUP($A64,Barèmes!$A$65:$A$148,Barèmes!$G$65:$G$148))*(1-(INT($D$8)+1-$D$8)),0)))</f>
        <v>0</v>
      </c>
      <c r="F64" s="121">
        <f>IF($A64&lt;$D$5+$D$4,LOOKUP($A64,Cot_droits!$A$17:$A$68,Cot_droits!$Q$17:$Q$68)/LOOKUP($A64,Barèmes!$A$65:$A$148,Barèmes!$G$65:$G$148),0)</f>
        <v>9385.0347906332099</v>
      </c>
      <c r="G64" s="115"/>
      <c r="H64" s="131">
        <f>IF($A64&lt;$D$5+$D$4,0,IF(AND($A64&gt;=$D$5,$A64&lt;=INT($D$8)-1+$D$4),LOOKUP($A64,Retraite!$A$7:$A$47,Retraite!$L$7:$L$47)/LOOKUP($A64,Barèmes!$A$65:$A$148,Barèmes!$G$65:$G$148),IF($A64=INT($D$8+$D$4),(LOOKUP($A64,Retraite!$A$7:$A$47,Retraite!$L$7:$L$47)/LOOKUP($A64,Barèmes!$A$65:$A$148,Barèmes!$G$65:$G$148))*(1-(INT($D$8)+1-$D$8)),0)))</f>
        <v>0</v>
      </c>
      <c r="I64" s="151">
        <f>IF($A64&lt;$D$5+$D$4,0,IF(AND($A64&gt;=$D$5,$A64&lt;=INT($D$8)-1+$D$4),LOOKUP($A64,Retraite!$A$7:$A$47,Retraite!$P$7:$P$47)/LOOKUP($A64,Barèmes!$A$65:$A$148,Barèmes!$G$65:$G$148),IF($A64=INT($D$8+$D$4),(LOOKUP($A64,Retraite!$A$7:$A$47,Retraite!$P$7:$P$47)/LOOKUP($A64,Barèmes!$A$65:$A$148,Barèmes!$G$65:$G$148))*(1-(INT($D$8)+1-$D$8)),0)))</f>
        <v>0</v>
      </c>
      <c r="J64" s="121">
        <f>IF($A64&lt;$D$5+$D$4,(LOOKUP($A64,Cot_droits!$A$17:$A$68,Cot_droits!$H$17:$H$68)+LOOKUP($A64,Cot_droits!$A$17:$A$68,Cot_droits!$L$17:$L$68))/LOOKUP($A64,Barèmes!$A$65:$A$148,Barèmes!$G$65:$G$148),0)</f>
        <v>5997.8529392143537</v>
      </c>
      <c r="L64" s="131">
        <f>IF($A64&lt;$D$5+$D$4,0,IF(AND($A64&gt;=$D$5,$A64&lt;=INT($D$8)-1+$D$4),LOOKUP($A64,Retraite!$A$7:$A$47,Retraite!$M$7:$M$47)/LOOKUP($A64,Barèmes!$A$65:$A$148,Barèmes!$G$65:$G$148),IF($A64=INT($D$8+$D$4),(LOOKUP($A64,Retraite!$A$7:$A$47,Retraite!$M$7:$M$47)/LOOKUP($A64,Barèmes!$A$65:$A$148,Barèmes!$G$65:$G$148))*(1-(INT($D$8)+1-$D$8)),0)))</f>
        <v>0</v>
      </c>
      <c r="M64" s="151">
        <f>IF($A64&lt;$D$5+$D$4,0,IF(AND($A64&gt;=$D$5,$A64&lt;=INT($D$8)-1+$D$4),LOOKUP($A64,Retraite!$A$7:$A$47,Retraite!$Q$7:$Q$47)/LOOKUP($A64,Barèmes!$A$65:$A$148,Barèmes!$G$65:$G$148),IF($A64=INT($D$8+$D$4),(LOOKUP($A64,Retraite!$A$7:$A$47,Retraite!$Q$7:$Q$47)/LOOKUP($A64,Barèmes!$A$65:$A$148,Barèmes!$G$65:$G$148))*(1-(INT($D$8)+1-$D$8)),0)))</f>
        <v>0</v>
      </c>
      <c r="N64" s="121">
        <f>IF($A64&lt;$D$5+$D$4,(LOOKUP($A64,Cot_droits!$A$17:$A$68,Cot_droits!$I$17:$I$68)+LOOKUP($A64,Cot_droits!$A$17:$A$68,Cot_droits!$J$17:$J$68)+LOOKUP($A64,Cot_droits!$A$17:$A$68,Cot_droits!$N$17:$N$68))/LOOKUP($A64,Barèmes!$A$65:$A$148,Barèmes!$G$65:$G$148),0)</f>
        <v>3387.1818514188558</v>
      </c>
      <c r="O64" s="115"/>
    </row>
    <row r="65" spans="1:15" s="43" customFormat="1" ht="15.75" customHeight="1" x14ac:dyDescent="0.25">
      <c r="A65" s="148">
        <f>TRI_prix!A59</f>
        <v>2064</v>
      </c>
      <c r="B65" s="121">
        <f>Cot_droits!C64/LOOKUP($A65,Barèmes!$A$65:$A$148,Barèmes!$G$65:$G$148)</f>
        <v>0</v>
      </c>
      <c r="C65" s="135"/>
      <c r="D65" s="131">
        <f ca="1">IF($A65&lt;$D$5+$D$4,0,IF(AND($A65&gt;=$D$5,$A65&lt;=INT($D$8)-1+$D$4),LOOKUP($A65,Retraite!$A$7:$A$47,Retraite!$K$7:$K$47)/LOOKUP($A65,Barèmes!$A$65:$A$148,Barèmes!$G$65:$G$148),IF($A65=INT($D$8+$D$4),(LOOKUP($A65,Retraite!$A$7:$A$47,Retraite!$K$7:$K$47)/LOOKUP($A65,Barèmes!$A$65:$A$148,Barèmes!$G$65:$G$148))*(1-(INT($D$8)+1-$D$8)),0)))</f>
        <v>18243.611434200997</v>
      </c>
      <c r="E65" s="151">
        <f ca="1">IF($A65&lt;$D$5+$D$4,0,IF(AND($A65&gt;=$D$5,$A65&lt;=INT($D$8)-1+$D$4),LOOKUP($A65,Retraite!$A$7:$A$47,Retraite!$N$7:$N$47)/LOOKUP($A65,Barèmes!$A$65:$A$148,Barèmes!$G$65:$G$148),IF($A65=INT($D$8+$D$4),(LOOKUP($A65,Retraite!$A$7:$A$47,Retraite!$N$7:$N$47)/LOOKUP($A65,Barèmes!$A$65:$A$148,Barèmes!$G$65:$G$148))*(1-(INT($D$8)+1-$D$8)),0)))</f>
        <v>16545.26312382154</v>
      </c>
      <c r="F65" s="121">
        <f>IF($A65&lt;$D$5+$D$4,LOOKUP($A65,Cot_droits!$A$17:$A$68,Cot_droits!$Q$17:$Q$68)/LOOKUP($A65,Barèmes!$A$65:$A$148,Barèmes!$G$65:$G$148),0)</f>
        <v>0</v>
      </c>
      <c r="G65" s="115"/>
      <c r="H65" s="131">
        <f>IF($A65&lt;$D$5+$D$4,0,IF(AND($A65&gt;=$D$5,$A65&lt;=INT($D$8)-1+$D$4),LOOKUP($A65,Retraite!$A$7:$A$47,Retraite!$L$7:$L$47)/LOOKUP($A65,Barèmes!$A$65:$A$148,Barèmes!$G$65:$G$148),IF($A65=INT($D$8+$D$4),(LOOKUP($A65,Retraite!$A$7:$A$47,Retraite!$L$7:$L$47)/LOOKUP($A65,Barèmes!$A$65:$A$148,Barèmes!$G$65:$G$148))*(1-(INT($D$8)+1-$D$8)),0)))</f>
        <v>14425.644447484416</v>
      </c>
      <c r="I65" s="151">
        <f ca="1">IF($A65&lt;$D$5+$D$4,0,IF(AND($A65&gt;=$D$5,$A65&lt;=INT($D$8)-1+$D$4),LOOKUP($A65,Retraite!$A$7:$A$47,Retraite!$P$7:$P$47)/LOOKUP($A65,Barèmes!$A$65:$A$148,Barèmes!$G$65:$G$148),IF($A65=INT($D$8+$D$4),(LOOKUP($A65,Retraite!$A$7:$A$47,Retraite!$P$7:$P$47)/LOOKUP($A65,Barèmes!$A$65:$A$148,Barèmes!$G$65:$G$148))*(1-(INT($D$8)+1-$D$8)),0)))</f>
        <v>13112.910802763334</v>
      </c>
      <c r="J65" s="121">
        <f>IF($A65&lt;$D$5+$D$4,(LOOKUP($A65,Cot_droits!$A$17:$A$68,Cot_droits!$H$17:$H$68)+LOOKUP($A65,Cot_droits!$A$17:$A$68,Cot_droits!$L$17:$L$68))/LOOKUP($A65,Barèmes!$A$65:$A$148,Barèmes!$G$65:$G$148),0)</f>
        <v>0</v>
      </c>
      <c r="L65" s="131">
        <f ca="1">IF($A65&lt;$D$5+$D$4,0,IF(AND($A65&gt;=$D$5,$A65&lt;=INT($D$8)-1+$D$4),LOOKUP($A65,Retraite!$A$7:$A$47,Retraite!$M$7:$M$47)/LOOKUP($A65,Barèmes!$A$65:$A$148,Barèmes!$G$65:$G$148),IF($A65=INT($D$8+$D$4),(LOOKUP($A65,Retraite!$A$7:$A$47,Retraite!$M$7:$M$47)/LOOKUP($A65,Barèmes!$A$65:$A$148,Barèmes!$G$65:$G$148))*(1-(INT($D$8)+1-$D$8)),0)))</f>
        <v>3817.9669867165817</v>
      </c>
      <c r="M65" s="151">
        <f ca="1">IF($A65&lt;$D$5+$D$4,0,IF(AND($A65&gt;=$D$5,$A65&lt;=INT($D$8)-1+$D$4),LOOKUP($A65,Retraite!$A$7:$A$47,Retraite!$Q$7:$Q$47)/LOOKUP($A65,Barèmes!$A$65:$A$148,Barèmes!$G$65:$G$148),IF($A65=INT($D$8+$D$4),(LOOKUP($A65,Retraite!$A$7:$A$47,Retraite!$Q$7:$Q$47)/LOOKUP($A65,Barèmes!$A$65:$A$148,Barèmes!$G$65:$G$148))*(1-(INT($D$8)+1-$D$8)),0)))</f>
        <v>3432.3523210582071</v>
      </c>
      <c r="N65" s="121">
        <f>IF($A65&lt;$D$5+$D$4,(LOOKUP($A65,Cot_droits!$A$17:$A$68,Cot_droits!$I$17:$I$68)+LOOKUP($A65,Cot_droits!$A$17:$A$68,Cot_droits!$J$17:$J$68)+LOOKUP($A65,Cot_droits!$A$17:$A$68,Cot_droits!$N$17:$N$68))/LOOKUP($A65,Barèmes!$A$65:$A$148,Barèmes!$G$65:$G$148),0)</f>
        <v>0</v>
      </c>
      <c r="O65" s="115"/>
    </row>
    <row r="66" spans="1:15" s="43" customFormat="1" ht="15.75" customHeight="1" x14ac:dyDescent="0.25">
      <c r="A66" s="148">
        <f>TRI_prix!A60</f>
        <v>2065</v>
      </c>
      <c r="B66" s="121">
        <f>Cot_droits!C65/LOOKUP($A66,Barèmes!$A$65:$A$148,Barèmes!$G$65:$G$148)</f>
        <v>0</v>
      </c>
      <c r="C66" s="135"/>
      <c r="D66" s="131">
        <f ca="1">IF($A66&lt;$D$5+$D$4,0,IF(AND($A66&gt;=$D$5,$A66&lt;=INT($D$8)-1+$D$4),LOOKUP($A66,Retraite!$A$7:$A$47,Retraite!$K$7:$K$47)/LOOKUP($A66,Barèmes!$A$65:$A$148,Barèmes!$G$65:$G$148),IF($A66=INT($D$8+$D$4),(LOOKUP($A66,Retraite!$A$7:$A$47,Retraite!$K$7:$K$47)/LOOKUP($A66,Barèmes!$A$65:$A$148,Barèmes!$G$65:$G$148))*(1-(INT($D$8)+1-$D$8)),0)))</f>
        <v>18015.610343514345</v>
      </c>
      <c r="E66" s="151">
        <f ca="1">IF($A66&lt;$D$5+$D$4,0,IF(AND($A66&gt;=$D$5,$A66&lt;=INT($D$8)-1+$D$4),LOOKUP($A66,Retraite!$A$7:$A$47,Retraite!$N$7:$N$47)/LOOKUP($A66,Barèmes!$A$65:$A$148,Barèmes!$G$65:$G$148),IF($A66=INT($D$8+$D$4),(LOOKUP($A66,Retraite!$A$7:$A$47,Retraite!$N$7:$N$47)/LOOKUP($A66,Barèmes!$A$65:$A$148,Barèmes!$G$65:$G$148))*(1-(INT($D$8)+1-$D$8)),0)))</f>
        <v>16338.438875991009</v>
      </c>
      <c r="F66" s="121">
        <f>IF($A66&lt;$D$5+$D$4,LOOKUP($A66,Cot_droits!$A$17:$A$68,Cot_droits!$Q$17:$Q$68)/LOOKUP($A66,Barèmes!$A$65:$A$148,Barèmes!$G$65:$G$148),0)</f>
        <v>0</v>
      </c>
      <c r="G66" s="115"/>
      <c r="H66" s="131">
        <f>IF($A66&lt;$D$5+$D$4,0,IF(AND($A66&gt;=$D$5,$A66&lt;=INT($D$8)-1+$D$4),LOOKUP($A66,Retraite!$A$7:$A$47,Retraite!$L$7:$L$47)/LOOKUP($A66,Barèmes!$A$65:$A$148,Barèmes!$G$65:$G$148),IF($A66=INT($D$8+$D$4),(LOOKUP($A66,Retraite!$A$7:$A$47,Retraite!$L$7:$L$47)/LOOKUP($A66,Barèmes!$A$65:$A$148,Barèmes!$G$65:$G$148))*(1-(INT($D$8)+1-$D$8)),0)))</f>
        <v>14240.51771716132</v>
      </c>
      <c r="I66" s="151">
        <f ca="1">IF($A66&lt;$D$5+$D$4,0,IF(AND($A66&gt;=$D$5,$A66&lt;=INT($D$8)-1+$D$4),LOOKUP($A66,Retraite!$A$7:$A$47,Retraite!$P$7:$P$47)/LOOKUP($A66,Barèmes!$A$65:$A$148,Barèmes!$G$65:$G$148),IF($A66=INT($D$8+$D$4),(LOOKUP($A66,Retraite!$A$7:$A$47,Retraite!$P$7:$P$47)/LOOKUP($A66,Barèmes!$A$65:$A$148,Barèmes!$G$65:$G$148))*(1-(INT($D$8)+1-$D$8)),0)))</f>
        <v>12944.630604899639</v>
      </c>
      <c r="J66" s="121">
        <f>IF($A66&lt;$D$5+$D$4,(LOOKUP($A66,Cot_droits!$A$17:$A$68,Cot_droits!$H$17:$H$68)+LOOKUP($A66,Cot_droits!$A$17:$A$68,Cot_droits!$L$17:$L$68))/LOOKUP($A66,Barèmes!$A$65:$A$148,Barèmes!$G$65:$G$148),0)</f>
        <v>0</v>
      </c>
      <c r="L66" s="131">
        <f ca="1">IF($A66&lt;$D$5+$D$4,0,IF(AND($A66&gt;=$D$5,$A66&lt;=INT($D$8)-1+$D$4),LOOKUP($A66,Retraite!$A$7:$A$47,Retraite!$M$7:$M$47)/LOOKUP($A66,Barèmes!$A$65:$A$148,Barèmes!$G$65:$G$148),IF($A66=INT($D$8+$D$4),(LOOKUP($A66,Retraite!$A$7:$A$47,Retraite!$M$7:$M$47)/LOOKUP($A66,Barèmes!$A$65:$A$148,Barèmes!$G$65:$G$148))*(1-(INT($D$8)+1-$D$8)),0)))</f>
        <v>3775.0926263530259</v>
      </c>
      <c r="M66" s="151">
        <f ca="1">IF($A66&lt;$D$5+$D$4,0,IF(AND($A66&gt;=$D$5,$A66&lt;=INT($D$8)-1+$D$4),LOOKUP($A66,Retraite!$A$7:$A$47,Retraite!$Q$7:$Q$47)/LOOKUP($A66,Barèmes!$A$65:$A$148,Barèmes!$G$65:$G$148),IF($A66=INT($D$8+$D$4),(LOOKUP($A66,Retraite!$A$7:$A$47,Retraite!$Q$7:$Q$47)/LOOKUP($A66,Barèmes!$A$65:$A$148,Barèmes!$G$65:$G$148))*(1-(INT($D$8)+1-$D$8)),0)))</f>
        <v>3393.8082710913704</v>
      </c>
      <c r="N66" s="121">
        <f>IF($A66&lt;$D$5+$D$4,(LOOKUP($A66,Cot_droits!$A$17:$A$68,Cot_droits!$I$17:$I$68)+LOOKUP($A66,Cot_droits!$A$17:$A$68,Cot_droits!$J$17:$J$68)+LOOKUP($A66,Cot_droits!$A$17:$A$68,Cot_droits!$N$17:$N$68))/LOOKUP($A66,Barèmes!$A$65:$A$148,Barèmes!$G$65:$G$148),0)</f>
        <v>0</v>
      </c>
      <c r="O66" s="115"/>
    </row>
    <row r="67" spans="1:15" s="43" customFormat="1" ht="15.75" customHeight="1" x14ac:dyDescent="0.25">
      <c r="A67" s="148">
        <f>TRI_prix!A61</f>
        <v>2066</v>
      </c>
      <c r="B67" s="121">
        <f>Cot_droits!C66/LOOKUP($A67,Barèmes!$A$65:$A$148,Barèmes!$G$65:$G$148)</f>
        <v>0</v>
      </c>
      <c r="C67" s="135"/>
      <c r="D67" s="131">
        <f ca="1">IF($A67&lt;$D$5+$D$4,0,IF(AND($A67&gt;=$D$5,$A67&lt;=INT($D$8)-1+$D$4),LOOKUP($A67,Retraite!$A$7:$A$47,Retraite!$K$7:$K$47)/LOOKUP($A67,Barèmes!$A$65:$A$148,Barèmes!$G$65:$G$148),IF($A67=INT($D$8+$D$4),(LOOKUP($A67,Retraite!$A$7:$A$47,Retraite!$K$7:$K$47)/LOOKUP($A67,Barèmes!$A$65:$A$148,Barèmes!$G$65:$G$148))*(1-(INT($D$8)+1-$D$8)),0)))</f>
        <v>17790.45699059805</v>
      </c>
      <c r="E67" s="151">
        <f ca="1">IF($A67&lt;$D$5+$D$4,0,IF(AND($A67&gt;=$D$5,$A67&lt;=INT($D$8)-1+$D$4),LOOKUP($A67,Retraite!$A$7:$A$47,Retraite!$N$7:$N$47)/LOOKUP($A67,Barèmes!$A$65:$A$148,Barèmes!$G$65:$G$148),IF($A67=INT($D$8+$D$4),(LOOKUP($A67,Retraite!$A$7:$A$47,Retraite!$N$7:$N$47)/LOOKUP($A67,Barèmes!$A$65:$A$148,Barèmes!$G$65:$G$148))*(1-(INT($D$8)+1-$D$8)),0)))</f>
        <v>16134.198502041834</v>
      </c>
      <c r="F67" s="121">
        <f>IF($A67&lt;$D$5+$D$4,LOOKUP($A67,Cot_droits!$A$17:$A$68,Cot_droits!$Q$17:$Q$68)/LOOKUP($A67,Barèmes!$A$65:$A$148,Barèmes!$G$65:$G$148),0)</f>
        <v>0</v>
      </c>
      <c r="G67" s="115"/>
      <c r="H67" s="131">
        <f>IF($A67&lt;$D$5+$D$4,0,IF(AND($A67&gt;=$D$5,$A67&lt;=INT($D$8)-1+$D$4),LOOKUP($A67,Retraite!$A$7:$A$47,Retraite!$L$7:$L$47)/LOOKUP($A67,Barèmes!$A$65:$A$148,Barèmes!$G$65:$G$148),IF($A67=INT($D$8+$D$4),(LOOKUP($A67,Retraite!$A$7:$A$47,Retraite!$L$7:$L$47)/LOOKUP($A67,Barèmes!$A$65:$A$148,Barèmes!$G$65:$G$148))*(1-(INT($D$8)+1-$D$8)),0)))</f>
        <v>14057.766749418874</v>
      </c>
      <c r="I67" s="151">
        <f ca="1">IF($A67&lt;$D$5+$D$4,0,IF(AND($A67&gt;=$D$5,$A67&lt;=INT($D$8)-1+$D$4),LOOKUP($A67,Retraite!$A$7:$A$47,Retraite!$P$7:$P$47)/LOOKUP($A67,Barèmes!$A$65:$A$148,Barèmes!$G$65:$G$148),IF($A67=INT($D$8+$D$4),(LOOKUP($A67,Retraite!$A$7:$A$47,Retraite!$P$7:$P$47)/LOOKUP($A67,Barèmes!$A$65:$A$148,Barèmes!$G$65:$G$148))*(1-(INT($D$8)+1-$D$8)),0)))</f>
        <v>12778.509975221756</v>
      </c>
      <c r="J67" s="121">
        <f>IF($A67&lt;$D$5+$D$4,(LOOKUP($A67,Cot_droits!$A$17:$A$68,Cot_droits!$H$17:$H$68)+LOOKUP($A67,Cot_droits!$A$17:$A$68,Cot_droits!$L$17:$L$68))/LOOKUP($A67,Barèmes!$A$65:$A$148,Barèmes!$G$65:$G$148),0)</f>
        <v>0</v>
      </c>
      <c r="L67" s="131">
        <f ca="1">IF($A67&lt;$D$5+$D$4,0,IF(AND($A67&gt;=$D$5,$A67&lt;=INT($D$8)-1+$D$4),LOOKUP($A67,Retraite!$A$7:$A$47,Retraite!$M$7:$M$47)/LOOKUP($A67,Barèmes!$A$65:$A$148,Barèmes!$G$65:$G$148),IF($A67=INT($D$8+$D$4),(LOOKUP($A67,Retraite!$A$7:$A$47,Retraite!$M$7:$M$47)/LOOKUP($A67,Barèmes!$A$65:$A$148,Barèmes!$G$65:$G$148))*(1-(INT($D$8)+1-$D$8)),0)))</f>
        <v>3732.6902411791752</v>
      </c>
      <c r="M67" s="151">
        <f ca="1">IF($A67&lt;$D$5+$D$4,0,IF(AND($A67&gt;=$D$5,$A67&lt;=INT($D$8)-1+$D$4),LOOKUP($A67,Retraite!$A$7:$A$47,Retraite!$Q$7:$Q$47)/LOOKUP($A67,Barèmes!$A$65:$A$148,Barèmes!$G$65:$G$148),IF($A67=INT($D$8+$D$4),(LOOKUP($A67,Retraite!$A$7:$A$47,Retraite!$Q$7:$Q$47)/LOOKUP($A67,Barèmes!$A$65:$A$148,Barèmes!$G$65:$G$148))*(1-(INT($D$8)+1-$D$8)),0)))</f>
        <v>3355.6885268200786</v>
      </c>
      <c r="N67" s="121">
        <f>IF($A67&lt;$D$5+$D$4,(LOOKUP($A67,Cot_droits!$A$17:$A$68,Cot_droits!$I$17:$I$68)+LOOKUP($A67,Cot_droits!$A$17:$A$68,Cot_droits!$J$17:$J$68)+LOOKUP($A67,Cot_droits!$A$17:$A$68,Cot_droits!$N$17:$N$68))/LOOKUP($A67,Barèmes!$A$65:$A$148,Barèmes!$G$65:$G$148),0)</f>
        <v>0</v>
      </c>
      <c r="O67" s="115"/>
    </row>
    <row r="68" spans="1:15" s="43" customFormat="1" ht="15.75" customHeight="1" x14ac:dyDescent="0.25">
      <c r="A68" s="148">
        <f>TRI_prix!A62</f>
        <v>2067</v>
      </c>
      <c r="B68" s="121">
        <f>Cot_droits!C67/LOOKUP($A68,Barèmes!$A$65:$A$148,Barèmes!$G$65:$G$148)</f>
        <v>0</v>
      </c>
      <c r="C68" s="135"/>
      <c r="D68" s="131">
        <f ca="1">IF($A68&lt;$D$5+$D$4,0,IF(AND($A68&gt;=$D$5,$A68&lt;=INT($D$8)-1+$D$4),LOOKUP($A68,Retraite!$A$7:$A$47,Retraite!$K$7:$K$47)/LOOKUP($A68,Barèmes!$A$65:$A$148,Barèmes!$G$65:$G$148),IF($A68=INT($D$8+$D$4),(LOOKUP($A68,Retraite!$A$7:$A$47,Retraite!$K$7:$K$47)/LOOKUP($A68,Barèmes!$A$65:$A$148,Barèmes!$G$65:$G$148))*(1-(INT($D$8)+1-$D$8)),0)))</f>
        <v>17978.265545929928</v>
      </c>
      <c r="E68" s="151">
        <f ca="1">IF($A68&lt;$D$5+$D$4,0,IF(AND($A68&gt;=$D$5,$A68&lt;=INT($D$8)-1+$D$4),LOOKUP($A68,Retraite!$A$7:$A$47,Retraite!$N$7:$N$47)/LOOKUP($A68,Barèmes!$A$65:$A$148,Barèmes!$G$65:$G$148),IF($A68=INT($D$8+$D$4),(LOOKUP($A68,Retraite!$A$7:$A$47,Retraite!$N$7:$N$47)/LOOKUP($A68,Barèmes!$A$65:$A$148,Barèmes!$G$65:$G$148))*(1-(INT($D$8)+1-$D$8)),0)))</f>
        <v>16301.234336347954</v>
      </c>
      <c r="F68" s="121">
        <f>IF($A68&lt;$D$5+$D$4,LOOKUP($A68,Cot_droits!$A$17:$A$68,Cot_droits!$Q$17:$Q$68)/LOOKUP($A68,Barèmes!$A$65:$A$148,Barèmes!$G$65:$G$148),0)</f>
        <v>0</v>
      </c>
      <c r="G68" s="115"/>
      <c r="H68" s="131">
        <f>IF($A68&lt;$D$5+$D$4,0,IF(AND($A68&gt;=$D$5,$A68&lt;=INT($D$8)-1+$D$4),LOOKUP($A68,Retraite!$A$7:$A$47,Retraite!$L$7:$L$47)/LOOKUP($A68,Barèmes!$A$65:$A$148,Barèmes!$G$65:$G$148),IF($A68=INT($D$8+$D$4),(LOOKUP($A68,Retraite!$A$7:$A$47,Retraite!$L$7:$L$47)/LOOKUP($A68,Barèmes!$A$65:$A$148,Barèmes!$G$65:$G$148))*(1-(INT($D$8)+1-$D$8)),0)))</f>
        <v>13877.361055694844</v>
      </c>
      <c r="I68" s="151">
        <f ca="1">IF($A68&lt;$D$5+$D$4,0,IF(AND($A68&gt;=$D$5,$A68&lt;=INT($D$8)-1+$D$4),LOOKUP($A68,Retraite!$A$7:$A$47,Retraite!$P$7:$P$47)/LOOKUP($A68,Barèmes!$A$65:$A$148,Barèmes!$G$65:$G$148),IF($A68=INT($D$8+$D$4),(LOOKUP($A68,Retraite!$A$7:$A$47,Retraite!$P$7:$P$47)/LOOKUP($A68,Barèmes!$A$65:$A$148,Barèmes!$G$65:$G$148))*(1-(INT($D$8)+1-$D$8)),0)))</f>
        <v>12614.521199626613</v>
      </c>
      <c r="J68" s="121">
        <f>IF($A68&lt;$D$5+$D$4,(LOOKUP($A68,Cot_droits!$A$17:$A$68,Cot_droits!$H$17:$H$68)+LOOKUP($A68,Cot_droits!$A$17:$A$68,Cot_droits!$L$17:$L$68))/LOOKUP($A68,Barèmes!$A$65:$A$148,Barèmes!$G$65:$G$148),0)</f>
        <v>0</v>
      </c>
      <c r="L68" s="131">
        <f ca="1">IF($A68&lt;$D$5+$D$4,0,IF(AND($A68&gt;=$D$5,$A68&lt;=INT($D$8)-1+$D$4),LOOKUP($A68,Retraite!$A$7:$A$47,Retraite!$M$7:$M$47)/LOOKUP($A68,Barèmes!$A$65:$A$148,Barèmes!$G$65:$G$148),IF($A68=INT($D$8+$D$4),(LOOKUP($A68,Retraite!$A$7:$A$47,Retraite!$M$7:$M$47)/LOOKUP($A68,Barèmes!$A$65:$A$148,Barèmes!$G$65:$G$148))*(1-(INT($D$8)+1-$D$8)),0)))</f>
        <v>4100.9044902350852</v>
      </c>
      <c r="M68" s="151">
        <f ca="1">IF($A68&lt;$D$5+$D$4,0,IF(AND($A68&gt;=$D$5,$A68&lt;=INT($D$8)-1+$D$4),LOOKUP($A68,Retraite!$A$7:$A$47,Retraite!$Q$7:$Q$47)/LOOKUP($A68,Barèmes!$A$65:$A$148,Barèmes!$G$65:$G$148),IF($A68=INT($D$8+$D$4),(LOOKUP($A68,Retraite!$A$7:$A$47,Retraite!$Q$7:$Q$47)/LOOKUP($A68,Barèmes!$A$65:$A$148,Barèmes!$G$65:$G$148))*(1-(INT($D$8)+1-$D$8)),0)))</f>
        <v>3686.7131367213419</v>
      </c>
      <c r="N68" s="121">
        <f>IF($A68&lt;$D$5+$D$4,(LOOKUP($A68,Cot_droits!$A$17:$A$68,Cot_droits!$I$17:$I$68)+LOOKUP($A68,Cot_droits!$A$17:$A$68,Cot_droits!$J$17:$J$68)+LOOKUP($A68,Cot_droits!$A$17:$A$68,Cot_droits!$N$17:$N$68))/LOOKUP($A68,Barèmes!$A$65:$A$148,Barèmes!$G$65:$G$148),0)</f>
        <v>0</v>
      </c>
      <c r="O68" s="115"/>
    </row>
    <row r="69" spans="1:15" s="43" customFormat="1" ht="15.75" customHeight="1" x14ac:dyDescent="0.25">
      <c r="A69" s="148">
        <f>TRI_prix!A63</f>
        <v>2068</v>
      </c>
      <c r="B69" s="121">
        <f>Cot_droits!C68/LOOKUP($A69,Barèmes!$A$65:$A$148,Barèmes!$G$65:$G$148)</f>
        <v>0</v>
      </c>
      <c r="C69" s="135"/>
      <c r="D69" s="131">
        <f ca="1">IF($A69&lt;$D$5+$D$4,0,IF(AND($A69&gt;=$D$5,$A69&lt;=INT($D$8)-1+$D$4),LOOKUP($A69,Retraite!$A$7:$A$47,Retraite!$K$7:$K$47)/LOOKUP($A69,Barèmes!$A$65:$A$148,Barèmes!$G$65:$G$148),IF($A69=INT($D$8+$D$4),(LOOKUP($A69,Retraite!$A$7:$A$47,Retraite!$K$7:$K$47)/LOOKUP($A69,Barèmes!$A$65:$A$148,Barèmes!$G$65:$G$148))*(1-(INT($D$8)+1-$D$8)),0)))</f>
        <v>17754.103004750839</v>
      </c>
      <c r="E69" s="151">
        <f ca="1">IF($A69&lt;$D$5+$D$4,0,IF(AND($A69&gt;=$D$5,$A69&lt;=INT($D$8)-1+$D$4),LOOKUP($A69,Retraite!$A$7:$A$47,Retraite!$N$7:$N$47)/LOOKUP($A69,Barèmes!$A$65:$A$148,Barèmes!$G$65:$G$148),IF($A69=INT($D$8+$D$4),(LOOKUP($A69,Retraite!$A$7:$A$47,Retraite!$N$7:$N$47)/LOOKUP($A69,Barèmes!$A$65:$A$148,Barèmes!$G$65:$G$148))*(1-(INT($D$8)+1-$D$8)),0)))</f>
        <v>16097.931306657923</v>
      </c>
      <c r="F69" s="121">
        <f>IF($A69&lt;$D$5+$D$4,LOOKUP($A69,Cot_droits!$A$17:$A$68,Cot_droits!$Q$17:$Q$68)/LOOKUP($A69,Barèmes!$A$65:$A$148,Barèmes!$G$65:$G$148),0)</f>
        <v>0</v>
      </c>
      <c r="G69" s="115"/>
      <c r="H69" s="131">
        <f>IF($A69&lt;$D$5+$D$4,0,IF(AND($A69&gt;=$D$5,$A69&lt;=INT($D$8)-1+$D$4),LOOKUP($A69,Retraite!$A$7:$A$47,Retraite!$L$7:$L$47)/LOOKUP($A69,Barèmes!$A$65:$A$148,Barèmes!$G$65:$G$148),IF($A69=INT($D$8+$D$4),(LOOKUP($A69,Retraite!$A$7:$A$47,Retraite!$L$7:$L$47)/LOOKUP($A69,Barèmes!$A$65:$A$148,Barèmes!$G$65:$G$148))*(1-(INT($D$8)+1-$D$8)),0)))</f>
        <v>13699.27053869185</v>
      </c>
      <c r="I69" s="151">
        <f ca="1">IF($A69&lt;$D$5+$D$4,0,IF(AND($A69&gt;=$D$5,$A69&lt;=INT($D$8)-1+$D$4),LOOKUP($A69,Retraite!$A$7:$A$47,Retraite!$P$7:$P$47)/LOOKUP($A69,Barèmes!$A$65:$A$148,Barèmes!$G$65:$G$148),IF($A69=INT($D$8+$D$4),(LOOKUP($A69,Retraite!$A$7:$A$47,Retraite!$P$7:$P$47)/LOOKUP($A69,Barèmes!$A$65:$A$148,Barèmes!$G$65:$G$148))*(1-(INT($D$8)+1-$D$8)),0)))</f>
        <v>12452.636919670891</v>
      </c>
      <c r="J69" s="121">
        <f>IF($A69&lt;$D$5+$D$4,(LOOKUP($A69,Cot_droits!$A$17:$A$68,Cot_droits!$H$17:$H$68)+LOOKUP($A69,Cot_droits!$A$17:$A$68,Cot_droits!$L$17:$L$68))/LOOKUP($A69,Barèmes!$A$65:$A$148,Barèmes!$G$65:$G$148),0)</f>
        <v>0</v>
      </c>
      <c r="L69" s="131">
        <f ca="1">IF($A69&lt;$D$5+$D$4,0,IF(AND($A69&gt;=$D$5,$A69&lt;=INT($D$8)-1+$D$4),LOOKUP($A69,Retraite!$A$7:$A$47,Retraite!$M$7:$M$47)/LOOKUP($A69,Barèmes!$A$65:$A$148,Barèmes!$G$65:$G$148),IF($A69=INT($D$8+$D$4),(LOOKUP($A69,Retraite!$A$7:$A$47,Retraite!$M$7:$M$47)/LOOKUP($A69,Barèmes!$A$65:$A$148,Barèmes!$G$65:$G$148))*(1-(INT($D$8)+1-$D$8)),0)))</f>
        <v>4054.832466058991</v>
      </c>
      <c r="M69" s="151">
        <f ca="1">IF($A69&lt;$D$5+$D$4,0,IF(AND($A69&gt;=$D$5,$A69&lt;=INT($D$8)-1+$D$4),LOOKUP($A69,Retraite!$A$7:$A$47,Retraite!$Q$7:$Q$47)/LOOKUP($A69,Barèmes!$A$65:$A$148,Barèmes!$G$65:$G$148),IF($A69=INT($D$8+$D$4),(LOOKUP($A69,Retraite!$A$7:$A$47,Retraite!$Q$7:$Q$47)/LOOKUP($A69,Barèmes!$A$65:$A$148,Barèmes!$G$65:$G$148))*(1-(INT($D$8)+1-$D$8)),0)))</f>
        <v>3645.2943869870332</v>
      </c>
      <c r="N69" s="121">
        <f>IF($A69&lt;$D$5+$D$4,(LOOKUP($A69,Cot_droits!$A$17:$A$68,Cot_droits!$I$17:$I$68)+LOOKUP($A69,Cot_droits!$A$17:$A$68,Cot_droits!$J$17:$J$68)+LOOKUP($A69,Cot_droits!$A$17:$A$68,Cot_droits!$N$17:$N$68))/LOOKUP($A69,Barèmes!$A$65:$A$148,Barèmes!$G$65:$G$148),0)</f>
        <v>0</v>
      </c>
      <c r="O69" s="115"/>
    </row>
    <row r="70" spans="1:15" s="43" customFormat="1" ht="15.75" customHeight="1" x14ac:dyDescent="0.25">
      <c r="A70" s="148">
        <f>TRI_prix!A64</f>
        <v>2069</v>
      </c>
      <c r="B70" s="121">
        <f>Cot_droits!C69/LOOKUP($A70,Barèmes!$A$65:$A$148,Barèmes!$G$65:$G$148)</f>
        <v>0</v>
      </c>
      <c r="C70" s="135"/>
      <c r="D70" s="131">
        <f ca="1">IF($A70&lt;$D$5+$D$4,0,IF(AND($A70&gt;=$D$5,$A70&lt;=INT($D$8)-1+$D$4),LOOKUP($A70,Retraite!$A$7:$A$47,Retraite!$K$7:$K$47)/LOOKUP($A70,Barèmes!$A$65:$A$148,Barèmes!$G$65:$G$148),IF($A70=INT($D$8+$D$4),(LOOKUP($A70,Retraite!$A$7:$A$47,Retraite!$K$7:$K$47)/LOOKUP($A70,Barèmes!$A$65:$A$148,Barèmes!$G$65:$G$148))*(1-(INT($D$8)+1-$D$8)),0)))</f>
        <v>17532.765161174764</v>
      </c>
      <c r="E70" s="151">
        <f ca="1">IF($A70&lt;$D$5+$D$4,0,IF(AND($A70&gt;=$D$5,$A70&lt;=INT($D$8)-1+$D$4),LOOKUP($A70,Retraite!$A$7:$A$47,Retraite!$N$7:$N$47)/LOOKUP($A70,Barèmes!$A$65:$A$148,Barèmes!$G$65:$G$148),IF($A70=INT($D$8+$D$4),(LOOKUP($A70,Retraite!$A$7:$A$47,Retraite!$N$7:$N$47)/LOOKUP($A70,Barèmes!$A$65:$A$148,Barèmes!$G$65:$G$148))*(1-(INT($D$8)+1-$D$8)),0)))</f>
        <v>15897.190534769676</v>
      </c>
      <c r="F70" s="121">
        <f>IF($A70&lt;$D$5+$D$4,LOOKUP($A70,Cot_droits!$A$17:$A$68,Cot_droits!$Q$17:$Q$68)/LOOKUP($A70,Barèmes!$A$65:$A$148,Barèmes!$G$65:$G$148),0)</f>
        <v>0</v>
      </c>
      <c r="G70" s="115"/>
      <c r="H70" s="131">
        <f>IF($A70&lt;$D$5+$D$4,0,IF(AND($A70&gt;=$D$5,$A70&lt;=INT($D$8)-1+$D$4),LOOKUP($A70,Retraite!$A$7:$A$47,Retraite!$L$7:$L$47)/LOOKUP($A70,Barèmes!$A$65:$A$148,Barèmes!$G$65:$G$148),IF($A70=INT($D$8+$D$4),(LOOKUP($A70,Retraite!$A$7:$A$47,Retraite!$L$7:$L$47)/LOOKUP($A70,Barèmes!$A$65:$A$148,Barèmes!$G$65:$G$148))*(1-(INT($D$8)+1-$D$8)),0)))</f>
        <v>13523.465487356219</v>
      </c>
      <c r="I70" s="151">
        <f ca="1">IF($A70&lt;$D$5+$D$4,0,IF(AND($A70&gt;=$D$5,$A70&lt;=INT($D$8)-1+$D$4),LOOKUP($A70,Retraite!$A$7:$A$47,Retraite!$P$7:$P$47)/LOOKUP($A70,Barèmes!$A$65:$A$148,Barèmes!$G$65:$G$148),IF($A70=INT($D$8+$D$4),(LOOKUP($A70,Retraite!$A$7:$A$47,Retraite!$P$7:$P$47)/LOOKUP($A70,Barèmes!$A$65:$A$148,Barèmes!$G$65:$G$148))*(1-(INT($D$8)+1-$D$8)),0)))</f>
        <v>12292.830128006803</v>
      </c>
      <c r="J70" s="121">
        <f>IF($A70&lt;$D$5+$D$4,(LOOKUP($A70,Cot_droits!$A$17:$A$68,Cot_droits!$H$17:$H$68)+LOOKUP($A70,Cot_droits!$A$17:$A$68,Cot_droits!$L$17:$L$68))/LOOKUP($A70,Barèmes!$A$65:$A$148,Barèmes!$G$65:$G$148),0)</f>
        <v>0</v>
      </c>
      <c r="L70" s="131">
        <f ca="1">IF($A70&lt;$D$5+$D$4,0,IF(AND($A70&gt;=$D$5,$A70&lt;=INT($D$8)-1+$D$4),LOOKUP($A70,Retraite!$A$7:$A$47,Retraite!$M$7:$M$47)/LOOKUP($A70,Barèmes!$A$65:$A$148,Barèmes!$G$65:$G$148),IF($A70=INT($D$8+$D$4),(LOOKUP($A70,Retraite!$A$7:$A$47,Retraite!$M$7:$M$47)/LOOKUP($A70,Barèmes!$A$65:$A$148,Barèmes!$G$65:$G$148))*(1-(INT($D$8)+1-$D$8)),0)))</f>
        <v>4009.2996738185439</v>
      </c>
      <c r="M70" s="151">
        <f ca="1">IF($A70&lt;$D$5+$D$4,0,IF(AND($A70&gt;=$D$5,$A70&lt;=INT($D$8)-1+$D$4),LOOKUP($A70,Retraite!$A$7:$A$47,Retraite!$Q$7:$Q$47)/LOOKUP($A70,Barèmes!$A$65:$A$148,Barèmes!$G$65:$G$148),IF($A70=INT($D$8+$D$4),(LOOKUP($A70,Retraite!$A$7:$A$47,Retraite!$Q$7:$Q$47)/LOOKUP($A70,Barèmes!$A$65:$A$148,Barèmes!$G$65:$G$148))*(1-(INT($D$8)+1-$D$8)),0)))</f>
        <v>3604.3604067628712</v>
      </c>
      <c r="N70" s="121">
        <f>IF($A70&lt;$D$5+$D$4,(LOOKUP($A70,Cot_droits!$A$17:$A$68,Cot_droits!$I$17:$I$68)+LOOKUP($A70,Cot_droits!$A$17:$A$68,Cot_droits!$J$17:$J$68)+LOOKUP($A70,Cot_droits!$A$17:$A$68,Cot_droits!$N$17:$N$68))/LOOKUP($A70,Barèmes!$A$65:$A$148,Barèmes!$G$65:$G$148),0)</f>
        <v>0</v>
      </c>
      <c r="O70" s="115"/>
    </row>
    <row r="71" spans="1:15" s="43" customFormat="1" ht="15.75" customHeight="1" x14ac:dyDescent="0.25">
      <c r="A71" s="148">
        <f>TRI_prix!A65</f>
        <v>2070</v>
      </c>
      <c r="B71" s="121">
        <f>Cot_droits!C70/LOOKUP($A71,Barèmes!$A$65:$A$148,Barèmes!$G$65:$G$148)</f>
        <v>0</v>
      </c>
      <c r="C71" s="135"/>
      <c r="D71" s="131">
        <f ca="1">IF($A71&lt;$D$5+$D$4,0,IF(AND($A71&gt;=$D$5,$A71&lt;=INT($D$8)-1+$D$4),LOOKUP($A71,Retraite!$A$7:$A$47,Retraite!$K$7:$K$47)/LOOKUP($A71,Barèmes!$A$65:$A$148,Barèmes!$G$65:$G$148),IF($A71=INT($D$8+$D$4),(LOOKUP($A71,Retraite!$A$7:$A$47,Retraite!$K$7:$K$47)/LOOKUP($A71,Barèmes!$A$65:$A$148,Barèmes!$G$65:$G$148))*(1-(INT($D$8)+1-$D$8)),0)))</f>
        <v>17314.188645433787</v>
      </c>
      <c r="E71" s="151">
        <f ca="1">IF($A71&lt;$D$5+$D$4,0,IF(AND($A71&gt;=$D$5,$A71&lt;=INT($D$8)-1+$D$4),LOOKUP($A71,Retraite!$A$7:$A$47,Retraite!$N$7:$N$47)/LOOKUP($A71,Barèmes!$A$65:$A$148,Barèmes!$G$65:$G$148),IF($A71=INT($D$8+$D$4),(LOOKUP($A71,Retraite!$A$7:$A$47,Retraite!$N$7:$N$47)/LOOKUP($A71,Barèmes!$A$65:$A$148,Barèmes!$G$65:$G$148))*(1-(INT($D$8)+1-$D$8)),0)))</f>
        <v>15698.954757964186</v>
      </c>
      <c r="F71" s="121">
        <f>IF($A71&lt;$D$5+$D$4,LOOKUP($A71,Cot_droits!$A$17:$A$68,Cot_droits!$Q$17:$Q$68)/LOOKUP($A71,Barèmes!$A$65:$A$148,Barèmes!$G$65:$G$148),0)</f>
        <v>0</v>
      </c>
      <c r="G71" s="115"/>
      <c r="H71" s="131">
        <f>IF($A71&lt;$D$5+$D$4,0,IF(AND($A71&gt;=$D$5,$A71&lt;=INT($D$8)-1+$D$4),LOOKUP($A71,Retraite!$A$7:$A$47,Retraite!$L$7:$L$47)/LOOKUP($A71,Barèmes!$A$65:$A$148,Barèmes!$G$65:$G$148),IF($A71=INT($D$8+$D$4),(LOOKUP($A71,Retraite!$A$7:$A$47,Retraite!$L$7:$L$47)/LOOKUP($A71,Barèmes!$A$65:$A$148,Barèmes!$G$65:$G$148))*(1-(INT($D$8)+1-$D$8)),0)))</f>
        <v>13349.916571921243</v>
      </c>
      <c r="I71" s="151">
        <f ca="1">IF($A71&lt;$D$5+$D$4,0,IF(AND($A71&gt;=$D$5,$A71&lt;=INT($D$8)-1+$D$4),LOOKUP($A71,Retraite!$A$7:$A$47,Retraite!$P$7:$P$47)/LOOKUP($A71,Barèmes!$A$65:$A$148,Barèmes!$G$65:$G$148),IF($A71=INT($D$8+$D$4),(LOOKUP($A71,Retraite!$A$7:$A$47,Retraite!$P$7:$P$47)/LOOKUP($A71,Barèmes!$A$65:$A$148,Barèmes!$G$65:$G$148))*(1-(INT($D$8)+1-$D$8)),0)))</f>
        <v>12135.07416387641</v>
      </c>
      <c r="J71" s="121">
        <f>IF($A71&lt;$D$5+$D$4,(LOOKUP($A71,Cot_droits!$A$17:$A$68,Cot_droits!$H$17:$H$68)+LOOKUP($A71,Cot_droits!$A$17:$A$68,Cot_droits!$L$17:$L$68))/LOOKUP($A71,Barèmes!$A$65:$A$148,Barèmes!$G$65:$G$148),0)</f>
        <v>0</v>
      </c>
      <c r="L71" s="131">
        <f ca="1">IF($A71&lt;$D$5+$D$4,0,IF(AND($A71&gt;=$D$5,$A71&lt;=INT($D$8)-1+$D$4),LOOKUP($A71,Retraite!$A$7:$A$47,Retraite!$M$7:$M$47)/LOOKUP($A71,Barèmes!$A$65:$A$148,Barèmes!$G$65:$G$148),IF($A71=INT($D$8+$D$4),(LOOKUP($A71,Retraite!$A$7:$A$47,Retraite!$M$7:$M$47)/LOOKUP($A71,Barèmes!$A$65:$A$148,Barèmes!$G$65:$G$148))*(1-(INT($D$8)+1-$D$8)),0)))</f>
        <v>3964.2720735125404</v>
      </c>
      <c r="M71" s="151">
        <f ca="1">IF($A71&lt;$D$5+$D$4,0,IF(AND($A71&gt;=$D$5,$A71&lt;=INT($D$8)-1+$D$4),LOOKUP($A71,Retraite!$A$7:$A$47,Retraite!$Q$7:$Q$47)/LOOKUP($A71,Barèmes!$A$65:$A$148,Barèmes!$G$65:$G$148),IF($A71=INT($D$8+$D$4),(LOOKUP($A71,Retraite!$A$7:$A$47,Retraite!$Q$7:$Q$47)/LOOKUP($A71,Barèmes!$A$65:$A$148,Barèmes!$G$65:$G$148))*(1-(INT($D$8)+1-$D$8)),0)))</f>
        <v>3563.8805940877737</v>
      </c>
      <c r="N71" s="121">
        <f>IF($A71&lt;$D$5+$D$4,(LOOKUP($A71,Cot_droits!$A$17:$A$68,Cot_droits!$I$17:$I$68)+LOOKUP($A71,Cot_droits!$A$17:$A$68,Cot_droits!$J$17:$J$68)+LOOKUP($A71,Cot_droits!$A$17:$A$68,Cot_droits!$N$17:$N$68))/LOOKUP($A71,Barèmes!$A$65:$A$148,Barèmes!$G$65:$G$148),0)</f>
        <v>0</v>
      </c>
      <c r="O71" s="115"/>
    </row>
    <row r="72" spans="1:15" s="43" customFormat="1" ht="15.75" customHeight="1" x14ac:dyDescent="0.25">
      <c r="A72" s="148">
        <f>TRI_prix!A66</f>
        <v>2071</v>
      </c>
      <c r="B72" s="121">
        <f>Cot_droits!C71/LOOKUP($A72,Barèmes!$A$65:$A$148,Barèmes!$G$65:$G$148)</f>
        <v>0</v>
      </c>
      <c r="C72" s="135"/>
      <c r="D72" s="131">
        <f ca="1">IF($A72&lt;$D$5+$D$4,0,IF(AND($A72&gt;=$D$5,$A72&lt;=INT($D$8)-1+$D$4),LOOKUP($A72,Retraite!$A$7:$A$47,Retraite!$K$7:$K$47)/LOOKUP($A72,Barèmes!$A$65:$A$148,Barèmes!$G$65:$G$148),IF($A72=INT($D$8+$D$4),(LOOKUP($A72,Retraite!$A$7:$A$47,Retraite!$K$7:$K$47)/LOOKUP($A72,Barèmes!$A$65:$A$148,Barèmes!$G$65:$G$148))*(1-(INT($D$8)+1-$D$8)),0)))</f>
        <v>17098.310275519507</v>
      </c>
      <c r="E72" s="151">
        <f ca="1">IF($A72&lt;$D$5+$D$4,0,IF(AND($A72&gt;=$D$5,$A72&lt;=INT($D$8)-1+$D$4),LOOKUP($A72,Retraite!$A$7:$A$47,Retraite!$N$7:$N$47)/LOOKUP($A72,Barèmes!$A$65:$A$148,Barèmes!$G$65:$G$148),IF($A72=INT($D$8+$D$4),(LOOKUP($A72,Retraite!$A$7:$A$47,Retraite!$N$7:$N$47)/LOOKUP($A72,Barèmes!$A$65:$A$148,Barèmes!$G$65:$G$148))*(1-(INT($D$8)+1-$D$8)),0)))</f>
        <v>15503.166886082177</v>
      </c>
      <c r="F72" s="121">
        <f>IF($A72&lt;$D$5+$D$4,LOOKUP($A72,Cot_droits!$A$17:$A$68,Cot_droits!$Q$17:$Q$68)/LOOKUP($A72,Barèmes!$A$65:$A$148,Barèmes!$G$65:$G$148),0)</f>
        <v>0</v>
      </c>
      <c r="G72" s="115"/>
      <c r="H72" s="131">
        <f>IF($A72&lt;$D$5+$D$4,0,IF(AND($A72&gt;=$D$5,$A72&lt;=INT($D$8)-1+$D$4),LOOKUP($A72,Retraite!$A$7:$A$47,Retraite!$L$7:$L$47)/LOOKUP($A72,Barèmes!$A$65:$A$148,Barèmes!$G$65:$G$148),IF($A72=INT($D$8+$D$4),(LOOKUP($A72,Retraite!$A$7:$A$47,Retraite!$L$7:$L$47)/LOOKUP($A72,Barèmes!$A$65:$A$148,Barèmes!$G$65:$G$148))*(1-(INT($D$8)+1-$D$8)),0)))</f>
        <v>13178.59483901406</v>
      </c>
      <c r="I72" s="151">
        <f ca="1">IF($A72&lt;$D$5+$D$4,0,IF(AND($A72&gt;=$D$5,$A72&lt;=INT($D$8)-1+$D$4),LOOKUP($A72,Retraite!$A$7:$A$47,Retraite!$P$7:$P$47)/LOOKUP($A72,Barèmes!$A$65:$A$148,Barèmes!$G$65:$G$148),IF($A72=INT($D$8+$D$4),(LOOKUP($A72,Retraite!$A$7:$A$47,Retraite!$P$7:$P$47)/LOOKUP($A72,Barèmes!$A$65:$A$148,Barèmes!$G$65:$G$148))*(1-(INT($D$8)+1-$D$8)),0)))</f>
        <v>11979.342708663782</v>
      </c>
      <c r="J72" s="121">
        <f>IF($A72&lt;$D$5+$D$4,(LOOKUP($A72,Cot_droits!$A$17:$A$68,Cot_droits!$H$17:$H$68)+LOOKUP($A72,Cot_droits!$A$17:$A$68,Cot_droits!$L$17:$L$68))/LOOKUP($A72,Barèmes!$A$65:$A$148,Barèmes!$G$65:$G$148),0)</f>
        <v>0</v>
      </c>
      <c r="L72" s="131">
        <f ca="1">IF($A72&lt;$D$5+$D$4,0,IF(AND($A72&gt;=$D$5,$A72&lt;=INT($D$8)-1+$D$4),LOOKUP($A72,Retraite!$A$7:$A$47,Retraite!$M$7:$M$47)/LOOKUP($A72,Barèmes!$A$65:$A$148,Barèmes!$G$65:$G$148),IF($A72=INT($D$8+$D$4),(LOOKUP($A72,Retraite!$A$7:$A$47,Retraite!$M$7:$M$47)/LOOKUP($A72,Barèmes!$A$65:$A$148,Barèmes!$G$65:$G$148))*(1-(INT($D$8)+1-$D$8)),0)))</f>
        <v>3919.7154365054457</v>
      </c>
      <c r="M72" s="151">
        <f ca="1">IF($A72&lt;$D$5+$D$4,0,IF(AND($A72&gt;=$D$5,$A72&lt;=INT($D$8)-1+$D$4),LOOKUP($A72,Retraite!$A$7:$A$47,Retraite!$Q$7:$Q$47)/LOOKUP($A72,Barèmes!$A$65:$A$148,Barèmes!$G$65:$G$148),IF($A72=INT($D$8+$D$4),(LOOKUP($A72,Retraite!$A$7:$A$47,Retraite!$Q$7:$Q$47)/LOOKUP($A72,Barèmes!$A$65:$A$148,Barèmes!$G$65:$G$148))*(1-(INT($D$8)+1-$D$8)),0)))</f>
        <v>3523.8241774183957</v>
      </c>
      <c r="N72" s="121">
        <f>IF($A72&lt;$D$5+$D$4,(LOOKUP($A72,Cot_droits!$A$17:$A$68,Cot_droits!$I$17:$I$68)+LOOKUP($A72,Cot_droits!$A$17:$A$68,Cot_droits!$J$17:$J$68)+LOOKUP($A72,Cot_droits!$A$17:$A$68,Cot_droits!$N$17:$N$68))/LOOKUP($A72,Barèmes!$A$65:$A$148,Barèmes!$G$65:$G$148),0)</f>
        <v>0</v>
      </c>
      <c r="O72" s="115"/>
    </row>
    <row r="73" spans="1:15" s="43" customFormat="1" ht="15.75" customHeight="1" x14ac:dyDescent="0.25">
      <c r="A73" s="148">
        <f>TRI_prix!A67</f>
        <v>2072</v>
      </c>
      <c r="B73" s="121">
        <f>Cot_droits!C72/LOOKUP($A73,Barèmes!$A$65:$A$148,Barèmes!$G$65:$G$148)</f>
        <v>0</v>
      </c>
      <c r="C73" s="135"/>
      <c r="D73" s="131">
        <f ca="1">IF($A73&lt;$D$5+$D$4,0,IF(AND($A73&gt;=$D$5,$A73&lt;=INT($D$8)-1+$D$4),LOOKUP($A73,Retraite!$A$7:$A$47,Retraite!$K$7:$K$47)/LOOKUP($A73,Barèmes!$A$65:$A$148,Barèmes!$G$65:$G$148),IF($A73=INT($D$8+$D$4),(LOOKUP($A73,Retraite!$A$7:$A$47,Retraite!$K$7:$K$47)/LOOKUP($A73,Barèmes!$A$65:$A$148,Barèmes!$G$65:$G$148))*(1-(INT($D$8)+1-$D$8)),0)))</f>
        <v>16885.073932939606</v>
      </c>
      <c r="E73" s="151">
        <f ca="1">IF($A73&lt;$D$5+$D$4,0,IF(AND($A73&gt;=$D$5,$A73&lt;=INT($D$8)-1+$D$4),LOOKUP($A73,Retraite!$A$7:$A$47,Retraite!$N$7:$N$47)/LOOKUP($A73,Barèmes!$A$65:$A$148,Barèmes!$G$65:$G$148),IF($A73=INT($D$8+$D$4),(LOOKUP($A73,Retraite!$A$7:$A$47,Retraite!$N$7:$N$47)/LOOKUP($A73,Barèmes!$A$65:$A$148,Barèmes!$G$65:$G$148))*(1-(INT($D$8)+1-$D$8)),0)))</f>
        <v>15309.776182780959</v>
      </c>
      <c r="F73" s="121">
        <f>IF($A73&lt;$D$5+$D$4,LOOKUP($A73,Cot_droits!$A$17:$A$68,Cot_droits!$Q$17:$Q$68)/LOOKUP($A73,Barèmes!$A$65:$A$148,Barèmes!$G$65:$G$148),0)</f>
        <v>0</v>
      </c>
      <c r="G73" s="115"/>
      <c r="H73" s="131">
        <f>IF($A73&lt;$D$5+$D$4,0,IF(AND($A73&gt;=$D$5,$A73&lt;=INT($D$8)-1+$D$4),LOOKUP($A73,Retraite!$A$7:$A$47,Retraite!$L$7:$L$47)/LOOKUP($A73,Barèmes!$A$65:$A$148,Barèmes!$G$65:$G$148),IF($A73=INT($D$8+$D$4),(LOOKUP($A73,Retraite!$A$7:$A$47,Retraite!$L$7:$L$47)/LOOKUP($A73,Barèmes!$A$65:$A$148,Barèmes!$G$65:$G$148))*(1-(INT($D$8)+1-$D$8)),0)))</f>
        <v>13009.47170682533</v>
      </c>
      <c r="I73" s="151">
        <f ca="1">IF($A73&lt;$D$5+$D$4,0,IF(AND($A73&gt;=$D$5,$A73&lt;=INT($D$8)-1+$D$4),LOOKUP($A73,Retraite!$A$7:$A$47,Retraite!$P$7:$P$47)/LOOKUP($A73,Barèmes!$A$65:$A$148,Barèmes!$G$65:$G$148),IF($A73=INT($D$8+$D$4),(LOOKUP($A73,Retraite!$A$7:$A$47,Retraite!$P$7:$P$47)/LOOKUP($A73,Barèmes!$A$65:$A$148,Barèmes!$G$65:$G$148))*(1-(INT($D$8)+1-$D$8)),0)))</f>
        <v>11825.609781504227</v>
      </c>
      <c r="J73" s="121">
        <f>IF($A73&lt;$D$5+$D$4,(LOOKUP($A73,Cot_droits!$A$17:$A$68,Cot_droits!$H$17:$H$68)+LOOKUP($A73,Cot_droits!$A$17:$A$68,Cot_droits!$L$17:$L$68))/LOOKUP($A73,Barèmes!$A$65:$A$148,Barèmes!$G$65:$G$148),0)</f>
        <v>0</v>
      </c>
      <c r="L73" s="131">
        <f ca="1">IF($A73&lt;$D$5+$D$4,0,IF(AND($A73&gt;=$D$5,$A73&lt;=INT($D$8)-1+$D$4),LOOKUP($A73,Retraite!$A$7:$A$47,Retraite!$M$7:$M$47)/LOOKUP($A73,Barèmes!$A$65:$A$148,Barèmes!$G$65:$G$148),IF($A73=INT($D$8+$D$4),(LOOKUP($A73,Retraite!$A$7:$A$47,Retraite!$M$7:$M$47)/LOOKUP($A73,Barèmes!$A$65:$A$148,Barèmes!$G$65:$G$148))*(1-(INT($D$8)+1-$D$8)),0)))</f>
        <v>3875.6022261142757</v>
      </c>
      <c r="M73" s="151">
        <f ca="1">IF($A73&lt;$D$5+$D$4,0,IF(AND($A73&gt;=$D$5,$A73&lt;=INT($D$8)-1+$D$4),LOOKUP($A73,Retraite!$A$7:$A$47,Retraite!$Q$7:$Q$47)/LOOKUP($A73,Barèmes!$A$65:$A$148,Barèmes!$G$65:$G$148),IF($A73=INT($D$8+$D$4),(LOOKUP($A73,Retraite!$A$7:$A$47,Retraite!$Q$7:$Q$47)/LOOKUP($A73,Barèmes!$A$65:$A$148,Barèmes!$G$65:$G$148))*(1-(INT($D$8)+1-$D$8)),0)))</f>
        <v>3484.1664012767337</v>
      </c>
      <c r="N73" s="121">
        <f>IF($A73&lt;$D$5+$D$4,(LOOKUP($A73,Cot_droits!$A$17:$A$68,Cot_droits!$I$17:$I$68)+LOOKUP($A73,Cot_droits!$A$17:$A$68,Cot_droits!$J$17:$J$68)+LOOKUP($A73,Cot_droits!$A$17:$A$68,Cot_droits!$N$17:$N$68))/LOOKUP($A73,Barèmes!$A$65:$A$148,Barèmes!$G$65:$G$148),0)</f>
        <v>0</v>
      </c>
      <c r="O73" s="115"/>
    </row>
    <row r="74" spans="1:15" s="43" customFormat="1" ht="15.75" customHeight="1" x14ac:dyDescent="0.25">
      <c r="A74" s="148">
        <f>TRI_prix!A68</f>
        <v>2073</v>
      </c>
      <c r="B74" s="121">
        <f>Cot_droits!C73/LOOKUP($A74,Barèmes!$A$65:$A$148,Barèmes!$G$65:$G$148)</f>
        <v>0</v>
      </c>
      <c r="C74" s="135"/>
      <c r="D74" s="131">
        <f ca="1">IF($A74&lt;$D$5+$D$4,0,IF(AND($A74&gt;=$D$5,$A74&lt;=INT($D$8)-1+$D$4),LOOKUP($A74,Retraite!$A$7:$A$47,Retraite!$K$7:$K$47)/LOOKUP($A74,Barèmes!$A$65:$A$148,Barèmes!$G$65:$G$148),IF($A74=INT($D$8+$D$4),(LOOKUP($A74,Retraite!$A$7:$A$47,Retraite!$K$7:$K$47)/LOOKUP($A74,Barèmes!$A$65:$A$148,Barèmes!$G$65:$G$148))*(1-(INT($D$8)+1-$D$8)),0)))</f>
        <v>16674.504434381593</v>
      </c>
      <c r="E74" s="151">
        <f ca="1">IF($A74&lt;$D$5+$D$4,0,IF(AND($A74&gt;=$D$5,$A74&lt;=INT($D$8)-1+$D$4),LOOKUP($A74,Retraite!$A$7:$A$47,Retraite!$N$7:$N$47)/LOOKUP($A74,Barèmes!$A$65:$A$148,Barèmes!$G$65:$G$148),IF($A74=INT($D$8+$D$4),(LOOKUP($A74,Retraite!$A$7:$A$47,Retraite!$N$7:$N$47)/LOOKUP($A74,Barèmes!$A$65:$A$148,Barèmes!$G$65:$G$148))*(1-(INT($D$8)+1-$D$8)),0)))</f>
        <v>15118.804676112462</v>
      </c>
      <c r="F74" s="121">
        <f>IF($A74&lt;$D$5+$D$4,LOOKUP($A74,Cot_droits!$A$17:$A$68,Cot_droits!$Q$17:$Q$68)/LOOKUP($A74,Barèmes!$A$65:$A$148,Barèmes!$G$65:$G$148),0)</f>
        <v>0</v>
      </c>
      <c r="G74" s="115"/>
      <c r="H74" s="131">
        <f>IF($A74&lt;$D$5+$D$4,0,IF(AND($A74&gt;=$D$5,$A74&lt;=INT($D$8)-1+$D$4),LOOKUP($A74,Retraite!$A$7:$A$47,Retraite!$L$7:$L$47)/LOOKUP($A74,Barèmes!$A$65:$A$148,Barèmes!$G$65:$G$148),IF($A74=INT($D$8+$D$4),(LOOKUP($A74,Retraite!$A$7:$A$47,Retraite!$L$7:$L$47)/LOOKUP($A74,Barèmes!$A$65:$A$148,Barèmes!$G$65:$G$148))*(1-(INT($D$8)+1-$D$8)),0)))</f>
        <v>12842.518960340902</v>
      </c>
      <c r="I74" s="151">
        <f ca="1">IF($A74&lt;$D$5+$D$4,0,IF(AND($A74&gt;=$D$5,$A74&lt;=INT($D$8)-1+$D$4),LOOKUP($A74,Retraite!$A$7:$A$47,Retraite!$P$7:$P$47)/LOOKUP($A74,Barèmes!$A$65:$A$148,Barèmes!$G$65:$G$148),IF($A74=INT($D$8+$D$4),(LOOKUP($A74,Retraite!$A$7:$A$47,Retraite!$P$7:$P$47)/LOOKUP($A74,Barèmes!$A$65:$A$148,Barèmes!$G$65:$G$148))*(1-(INT($D$8)+1-$D$8)),0)))</f>
        <v>11673.849734949881</v>
      </c>
      <c r="J74" s="121">
        <f>IF($A74&lt;$D$5+$D$4,(LOOKUP($A74,Cot_droits!$A$17:$A$68,Cot_droits!$H$17:$H$68)+LOOKUP($A74,Cot_droits!$A$17:$A$68,Cot_droits!$L$17:$L$68))/LOOKUP($A74,Barèmes!$A$65:$A$148,Barèmes!$G$65:$G$148),0)</f>
        <v>0</v>
      </c>
      <c r="L74" s="131">
        <f ca="1">IF($A74&lt;$D$5+$D$4,0,IF(AND($A74&gt;=$D$5,$A74&lt;=INT($D$8)-1+$D$4),LOOKUP($A74,Retraite!$A$7:$A$47,Retraite!$M$7:$M$47)/LOOKUP($A74,Barèmes!$A$65:$A$148,Barèmes!$G$65:$G$148),IF($A74=INT($D$8+$D$4),(LOOKUP($A74,Retraite!$A$7:$A$47,Retraite!$M$7:$M$47)/LOOKUP($A74,Barèmes!$A$65:$A$148,Barèmes!$G$65:$G$148))*(1-(INT($D$8)+1-$D$8)),0)))</f>
        <v>3831.9854740406913</v>
      </c>
      <c r="M74" s="151">
        <f ca="1">IF($A74&lt;$D$5+$D$4,0,IF(AND($A74&gt;=$D$5,$A74&lt;=INT($D$8)-1+$D$4),LOOKUP($A74,Retraite!$A$7:$A$47,Retraite!$Q$7:$Q$47)/LOOKUP($A74,Barèmes!$A$65:$A$148,Barèmes!$G$65:$G$148),IF($A74=INT($D$8+$D$4),(LOOKUP($A74,Retraite!$A$7:$A$47,Retraite!$Q$7:$Q$47)/LOOKUP($A74,Barèmes!$A$65:$A$148,Barèmes!$G$65:$G$148))*(1-(INT($D$8)+1-$D$8)),0)))</f>
        <v>3444.9549411625817</v>
      </c>
      <c r="N74" s="121">
        <f>IF($A74&lt;$D$5+$D$4,(LOOKUP($A74,Cot_droits!$A$17:$A$68,Cot_droits!$I$17:$I$68)+LOOKUP($A74,Cot_droits!$A$17:$A$68,Cot_droits!$J$17:$J$68)+LOOKUP($A74,Cot_droits!$A$17:$A$68,Cot_droits!$N$17:$N$68))/LOOKUP($A74,Barèmes!$A$65:$A$148,Barèmes!$G$65:$G$148),0)</f>
        <v>0</v>
      </c>
      <c r="O74" s="115"/>
    </row>
    <row r="75" spans="1:15" s="43" customFormat="1" ht="15.75" customHeight="1" x14ac:dyDescent="0.25">
      <c r="A75" s="148">
        <f>TRI_prix!A69</f>
        <v>2074</v>
      </c>
      <c r="B75" s="121">
        <f>Cot_droits!C74/LOOKUP($A75,Barèmes!$A$65:$A$148,Barèmes!$G$65:$G$148)</f>
        <v>0</v>
      </c>
      <c r="C75" s="135"/>
      <c r="D75" s="131">
        <f ca="1">IF($A75&lt;$D$5+$D$4,0,IF(AND($A75&gt;=$D$5,$A75&lt;=INT($D$8)-1+$D$4),LOOKUP($A75,Retraite!$A$7:$A$47,Retraite!$K$7:$K$47)/LOOKUP($A75,Barèmes!$A$65:$A$148,Barèmes!$G$65:$G$148),IF($A75=INT($D$8+$D$4),(LOOKUP($A75,Retraite!$A$7:$A$47,Retraite!$K$7:$K$47)/LOOKUP($A75,Barèmes!$A$65:$A$148,Barèmes!$G$65:$G$148))*(1-(INT($D$8)+1-$D$8)),0)))</f>
        <v>16466.568339684614</v>
      </c>
      <c r="E75" s="151">
        <f ca="1">IF($A75&lt;$D$5+$D$4,0,IF(AND($A75&gt;=$D$5,$A75&lt;=INT($D$8)-1+$D$4),LOOKUP($A75,Retraite!$A$7:$A$47,Retraite!$N$7:$N$47)/LOOKUP($A75,Barèmes!$A$65:$A$148,Barèmes!$G$65:$G$148),IF($A75=INT($D$8+$D$4),(LOOKUP($A75,Retraite!$A$7:$A$47,Retraite!$N$7:$N$47)/LOOKUP($A75,Barèmes!$A$65:$A$148,Barèmes!$G$65:$G$148))*(1-(INT($D$8)+1-$D$8)),0)))</f>
        <v>14930.222024842815</v>
      </c>
      <c r="F75" s="121">
        <f>IF($A75&lt;$D$5+$D$4,LOOKUP($A75,Cot_droits!$A$17:$A$68,Cot_droits!$Q$17:$Q$68)/LOOKUP($A75,Barèmes!$A$65:$A$148,Barèmes!$G$65:$G$148),0)</f>
        <v>0</v>
      </c>
      <c r="G75" s="115"/>
      <c r="H75" s="131">
        <f>IF($A75&lt;$D$5+$D$4,0,IF(AND($A75&gt;=$D$5,$A75&lt;=INT($D$8)-1+$D$4),LOOKUP($A75,Retraite!$A$7:$A$47,Retraite!$L$7:$L$47)/LOOKUP($A75,Barèmes!$A$65:$A$148,Barèmes!$G$65:$G$148),IF($A75=INT($D$8+$D$4),(LOOKUP($A75,Retraite!$A$7:$A$47,Retraite!$L$7:$L$47)/LOOKUP($A75,Barèmes!$A$65:$A$148,Barèmes!$G$65:$G$148))*(1-(INT($D$8)+1-$D$8)),0)))</f>
        <v>12677.708746634653</v>
      </c>
      <c r="I75" s="151">
        <f ca="1">IF($A75&lt;$D$5+$D$4,0,IF(AND($A75&gt;=$D$5,$A75&lt;=INT($D$8)-1+$D$4),LOOKUP($A75,Retraite!$A$7:$A$47,Retraite!$P$7:$P$47)/LOOKUP($A75,Barèmes!$A$65:$A$148,Barèmes!$G$65:$G$148),IF($A75=INT($D$8+$D$4),(LOOKUP($A75,Retraite!$A$7:$A$47,Retraite!$P$7:$P$47)/LOOKUP($A75,Barèmes!$A$65:$A$148,Barèmes!$G$65:$G$148))*(1-(INT($D$8)+1-$D$8)),0)))</f>
        <v>11524.037250690899</v>
      </c>
      <c r="J75" s="121">
        <f>IF($A75&lt;$D$5+$D$4,(LOOKUP($A75,Cot_droits!$A$17:$A$68,Cot_droits!$H$17:$H$68)+LOOKUP($A75,Cot_droits!$A$17:$A$68,Cot_droits!$L$17:$L$68))/LOOKUP($A75,Barèmes!$A$65:$A$148,Barèmes!$G$65:$G$148),0)</f>
        <v>0</v>
      </c>
      <c r="L75" s="131">
        <f ca="1">IF($A75&lt;$D$5+$D$4,0,IF(AND($A75&gt;=$D$5,$A75&lt;=INT($D$8)-1+$D$4),LOOKUP($A75,Retraite!$A$7:$A$47,Retraite!$M$7:$M$47)/LOOKUP($A75,Barèmes!$A$65:$A$148,Barèmes!$G$65:$G$148),IF($A75=INT($D$8+$D$4),(LOOKUP($A75,Retraite!$A$7:$A$47,Retraite!$M$7:$M$47)/LOOKUP($A75,Barèmes!$A$65:$A$148,Barèmes!$G$65:$G$148))*(1-(INT($D$8)+1-$D$8)),0)))</f>
        <v>3788.8595930499614</v>
      </c>
      <c r="M75" s="151">
        <f ca="1">IF($A75&lt;$D$5+$D$4,0,IF(AND($A75&gt;=$D$5,$A75&lt;=INT($D$8)-1+$D$4),LOOKUP($A75,Retraite!$A$7:$A$47,Retraite!$Q$7:$Q$47)/LOOKUP($A75,Barèmes!$A$65:$A$148,Barèmes!$G$65:$G$148),IF($A75=INT($D$8+$D$4),(LOOKUP($A75,Retraite!$A$7:$A$47,Retraite!$Q$7:$Q$47)/LOOKUP($A75,Barèmes!$A$65:$A$148,Barèmes!$G$65:$G$148))*(1-(INT($D$8)+1-$D$8)),0)))</f>
        <v>3406.1847741519159</v>
      </c>
      <c r="N75" s="121">
        <f>IF($A75&lt;$D$5+$D$4,(LOOKUP($A75,Cot_droits!$A$17:$A$68,Cot_droits!$I$17:$I$68)+LOOKUP($A75,Cot_droits!$A$17:$A$68,Cot_droits!$J$17:$J$68)+LOOKUP($A75,Cot_droits!$A$17:$A$68,Cot_droits!$N$17:$N$68))/LOOKUP($A75,Barèmes!$A$65:$A$148,Barèmes!$G$65:$G$148),0)</f>
        <v>0</v>
      </c>
      <c r="O75" s="115"/>
    </row>
    <row r="76" spans="1:15" s="43" customFormat="1" ht="15.75" customHeight="1" x14ac:dyDescent="0.25">
      <c r="A76" s="148">
        <f>TRI_prix!A70</f>
        <v>2075</v>
      </c>
      <c r="B76" s="121">
        <f>Cot_droits!C75/LOOKUP($A76,Barèmes!$A$65:$A$148,Barèmes!$G$65:$G$148)</f>
        <v>0</v>
      </c>
      <c r="C76" s="135"/>
      <c r="D76" s="131">
        <f ca="1">IF($A76&lt;$D$5+$D$4,0,IF(AND($A76&gt;=$D$5,$A76&lt;=INT($D$8)-1+$D$4),LOOKUP($A76,Retraite!$A$7:$A$47,Retraite!$K$7:$K$47)/LOOKUP($A76,Barèmes!$A$65:$A$148,Barèmes!$G$65:$G$148),IF($A76=INT($D$8+$D$4),(LOOKUP($A76,Retraite!$A$7:$A$47,Retraite!$K$7:$K$47)/LOOKUP($A76,Barèmes!$A$65:$A$148,Barèmes!$G$65:$G$148))*(1-(INT($D$8)+1-$D$8)),0)))</f>
        <v>16261.232629008913</v>
      </c>
      <c r="E76" s="151">
        <f ca="1">IF($A76&lt;$D$5+$D$4,0,IF(AND($A76&gt;=$D$5,$A76&lt;=INT($D$8)-1+$D$4),LOOKUP($A76,Retraite!$A$7:$A$47,Retraite!$N$7:$N$47)/LOOKUP($A76,Barèmes!$A$65:$A$148,Barèmes!$G$65:$G$148),IF($A76=INT($D$8+$D$4),(LOOKUP($A76,Retraite!$A$7:$A$47,Retraite!$N$7:$N$47)/LOOKUP($A76,Barèmes!$A$65:$A$148,Barèmes!$G$65:$G$148))*(1-(INT($D$8)+1-$D$8)),0)))</f>
        <v>14743.998269181233</v>
      </c>
      <c r="F76" s="121">
        <f>IF($A76&lt;$D$5+$D$4,LOOKUP($A76,Cot_droits!$A$17:$A$68,Cot_droits!$Q$17:$Q$68)/LOOKUP($A76,Barèmes!$A$65:$A$148,Barèmes!$G$65:$G$148),0)</f>
        <v>0</v>
      </c>
      <c r="G76" s="115"/>
      <c r="H76" s="131">
        <f>IF($A76&lt;$D$5+$D$4,0,IF(AND($A76&gt;=$D$5,$A76&lt;=INT($D$8)-1+$D$4),LOOKUP($A76,Retraite!$A$7:$A$47,Retraite!$L$7:$L$47)/LOOKUP($A76,Barèmes!$A$65:$A$148,Barèmes!$G$65:$G$148),IF($A76=INT($D$8+$D$4),(LOOKUP($A76,Retraite!$A$7:$A$47,Retraite!$L$7:$L$47)/LOOKUP($A76,Barèmes!$A$65:$A$148,Barèmes!$G$65:$G$148))*(1-(INT($D$8)+1-$D$8)),0)))</f>
        <v>12515.013570221772</v>
      </c>
      <c r="I76" s="151">
        <f ca="1">IF($A76&lt;$D$5+$D$4,0,IF(AND($A76&gt;=$D$5,$A76&lt;=INT($D$8)-1+$D$4),LOOKUP($A76,Retraite!$A$7:$A$47,Retraite!$P$7:$P$47)/LOOKUP($A76,Barèmes!$A$65:$A$148,Barèmes!$G$65:$G$148),IF($A76=INT($D$8+$D$4),(LOOKUP($A76,Retraite!$A$7:$A$47,Retraite!$P$7:$P$47)/LOOKUP($A76,Barèmes!$A$65:$A$148,Barèmes!$G$65:$G$148))*(1-(INT($D$8)+1-$D$8)),0)))</f>
        <v>11376.147335331591</v>
      </c>
      <c r="J76" s="121">
        <f>IF($A76&lt;$D$5+$D$4,(LOOKUP($A76,Cot_droits!$A$17:$A$68,Cot_droits!$H$17:$H$68)+LOOKUP($A76,Cot_droits!$A$17:$A$68,Cot_droits!$L$17:$L$68))/LOOKUP($A76,Barèmes!$A$65:$A$148,Barèmes!$G$65:$G$148),0)</f>
        <v>0</v>
      </c>
      <c r="L76" s="131">
        <f ca="1">IF($A76&lt;$D$5+$D$4,0,IF(AND($A76&gt;=$D$5,$A76&lt;=INT($D$8)-1+$D$4),LOOKUP($A76,Retraite!$A$7:$A$47,Retraite!$M$7:$M$47)/LOOKUP($A76,Barèmes!$A$65:$A$148,Barèmes!$G$65:$G$148),IF($A76=INT($D$8+$D$4),(LOOKUP($A76,Retraite!$A$7:$A$47,Retraite!$M$7:$M$47)/LOOKUP($A76,Barèmes!$A$65:$A$148,Barèmes!$G$65:$G$148))*(1-(INT($D$8)+1-$D$8)),0)))</f>
        <v>3746.2190587871428</v>
      </c>
      <c r="M76" s="151">
        <f ca="1">IF($A76&lt;$D$5+$D$4,0,IF(AND($A76&gt;=$D$5,$A76&lt;=INT($D$8)-1+$D$4),LOOKUP($A76,Retraite!$A$7:$A$47,Retraite!$Q$7:$Q$47)/LOOKUP($A76,Barèmes!$A$65:$A$148,Barèmes!$G$65:$G$148),IF($A76=INT($D$8+$D$4),(LOOKUP($A76,Retraite!$A$7:$A$47,Retraite!$Q$7:$Q$47)/LOOKUP($A76,Barèmes!$A$65:$A$148,Barèmes!$G$65:$G$148))*(1-(INT($D$8)+1-$D$8)),0)))</f>
        <v>3367.8509338496415</v>
      </c>
      <c r="N76" s="121">
        <f>IF($A76&lt;$D$5+$D$4,(LOOKUP($A76,Cot_droits!$A$17:$A$68,Cot_droits!$I$17:$I$68)+LOOKUP($A76,Cot_droits!$A$17:$A$68,Cot_droits!$J$17:$J$68)+LOOKUP($A76,Cot_droits!$A$17:$A$68,Cot_droits!$N$17:$N$68))/LOOKUP($A76,Barèmes!$A$65:$A$148,Barèmes!$G$65:$G$148),0)</f>
        <v>0</v>
      </c>
      <c r="O76" s="115"/>
    </row>
    <row r="77" spans="1:15" s="43" customFormat="1" ht="15.75" customHeight="1" x14ac:dyDescent="0.25">
      <c r="A77" s="148">
        <f>TRI_prix!A71</f>
        <v>2076</v>
      </c>
      <c r="B77" s="121">
        <f>Cot_droits!C76/LOOKUP($A77,Barèmes!$A$65:$A$148,Barèmes!$G$65:$G$148)</f>
        <v>0</v>
      </c>
      <c r="C77" s="135"/>
      <c r="D77" s="131">
        <f ca="1">IF($A77&lt;$D$5+$D$4,0,IF(AND($A77&gt;=$D$5,$A77&lt;=INT($D$8)-1+$D$4),LOOKUP($A77,Retraite!$A$7:$A$47,Retraite!$K$7:$K$47)/LOOKUP($A77,Barèmes!$A$65:$A$148,Barèmes!$G$65:$G$148),IF($A77=INT($D$8+$D$4),(LOOKUP($A77,Retraite!$A$7:$A$47,Retraite!$K$7:$K$47)/LOOKUP($A77,Barèmes!$A$65:$A$148,Barèmes!$G$65:$G$148))*(1-(INT($D$8)+1-$D$8)),0)))</f>
        <v>16058.464697541054</v>
      </c>
      <c r="E77" s="151">
        <f ca="1">IF($A77&lt;$D$5+$D$4,0,IF(AND($A77&gt;=$D$5,$A77&lt;=INT($D$8)-1+$D$4),LOOKUP($A77,Retraite!$A$7:$A$47,Retraite!$N$7:$N$47)/LOOKUP($A77,Barèmes!$A$65:$A$148,Barèmes!$G$65:$G$148),IF($A77=INT($D$8+$D$4),(LOOKUP($A77,Retraite!$A$7:$A$47,Retraite!$N$7:$N$47)/LOOKUP($A77,Barèmes!$A$65:$A$148,Barèmes!$G$65:$G$148))*(1-(INT($D$8)+1-$D$8)),0)))</f>
        <v>14560.103825974125</v>
      </c>
      <c r="F77" s="121">
        <f>IF($A77&lt;$D$5+$D$4,LOOKUP($A77,Cot_droits!$A$17:$A$68,Cot_droits!$Q$17:$Q$68)/LOOKUP($A77,Barèmes!$A$65:$A$148,Barèmes!$G$65:$G$148),0)</f>
        <v>0</v>
      </c>
      <c r="G77" s="115"/>
      <c r="H77" s="131">
        <f>IF($A77&lt;$D$5+$D$4,0,IF(AND($A77&gt;=$D$5,$A77&lt;=INT($D$8)-1+$D$4),LOOKUP($A77,Retraite!$A$7:$A$47,Retraite!$L$7:$L$47)/LOOKUP($A77,Barèmes!$A$65:$A$148,Barèmes!$G$65:$G$148),IF($A77=INT($D$8+$D$4),(LOOKUP($A77,Retraite!$A$7:$A$47,Retraite!$L$7:$L$47)/LOOKUP($A77,Barèmes!$A$65:$A$148,Barèmes!$G$65:$G$148))*(1-(INT($D$8)+1-$D$8)),0)))</f>
        <v>12354.406288471642</v>
      </c>
      <c r="I77" s="151">
        <f ca="1">IF($A77&lt;$D$5+$D$4,0,IF(AND($A77&gt;=$D$5,$A77&lt;=INT($D$8)-1+$D$4),LOOKUP($A77,Retraite!$A$7:$A$47,Retraite!$P$7:$P$47)/LOOKUP($A77,Barèmes!$A$65:$A$148,Barèmes!$G$65:$G$148),IF($A77=INT($D$8+$D$4),(LOOKUP($A77,Retraite!$A$7:$A$47,Retraite!$P$7:$P$47)/LOOKUP($A77,Barèmes!$A$65:$A$148,Barèmes!$G$65:$G$148))*(1-(INT($D$8)+1-$D$8)),0)))</f>
        <v>11230.155316220724</v>
      </c>
      <c r="J77" s="121">
        <f>IF($A77&lt;$D$5+$D$4,(LOOKUP($A77,Cot_droits!$A$17:$A$68,Cot_droits!$H$17:$H$68)+LOOKUP($A77,Cot_droits!$A$17:$A$68,Cot_droits!$L$17:$L$68))/LOOKUP($A77,Barèmes!$A$65:$A$148,Barèmes!$G$65:$G$148),0)</f>
        <v>0</v>
      </c>
      <c r="L77" s="131">
        <f ca="1">IF($A77&lt;$D$5+$D$4,0,IF(AND($A77&gt;=$D$5,$A77&lt;=INT($D$8)-1+$D$4),LOOKUP($A77,Retraite!$A$7:$A$47,Retraite!$M$7:$M$47)/LOOKUP($A77,Barèmes!$A$65:$A$148,Barèmes!$G$65:$G$148),IF($A77=INT($D$8+$D$4),(LOOKUP($A77,Retraite!$A$7:$A$47,Retraite!$M$7:$M$47)/LOOKUP($A77,Barèmes!$A$65:$A$148,Barèmes!$G$65:$G$148))*(1-(INT($D$8)+1-$D$8)),0)))</f>
        <v>3704.0584090694133</v>
      </c>
      <c r="M77" s="151">
        <f ca="1">IF($A77&lt;$D$5+$D$4,0,IF(AND($A77&gt;=$D$5,$A77&lt;=INT($D$8)-1+$D$4),LOOKUP($A77,Retraite!$A$7:$A$47,Retraite!$Q$7:$Q$47)/LOOKUP($A77,Barèmes!$A$65:$A$148,Barèmes!$G$65:$G$148),IF($A77=INT($D$8+$D$4),(LOOKUP($A77,Retraite!$A$7:$A$47,Retraite!$Q$7:$Q$47)/LOOKUP($A77,Barèmes!$A$65:$A$148,Barèmes!$G$65:$G$148))*(1-(INT($D$8)+1-$D$8)),0)))</f>
        <v>3329.9485097534025</v>
      </c>
      <c r="N77" s="121">
        <f>IF($A77&lt;$D$5+$D$4,(LOOKUP($A77,Cot_droits!$A$17:$A$68,Cot_droits!$I$17:$I$68)+LOOKUP($A77,Cot_droits!$A$17:$A$68,Cot_droits!$J$17:$J$68)+LOOKUP($A77,Cot_droits!$A$17:$A$68,Cot_droits!$N$17:$N$68))/LOOKUP($A77,Barèmes!$A$65:$A$148,Barèmes!$G$65:$G$148),0)</f>
        <v>0</v>
      </c>
      <c r="O77" s="115"/>
    </row>
    <row r="78" spans="1:15" s="43" customFormat="1" ht="15.75" customHeight="1" x14ac:dyDescent="0.25">
      <c r="A78" s="148">
        <f>TRI_prix!A72</f>
        <v>2077</v>
      </c>
      <c r="B78" s="121">
        <f>Cot_droits!C77/LOOKUP($A78,Barèmes!$A$65:$A$148,Barèmes!$G$65:$G$148)</f>
        <v>0</v>
      </c>
      <c r="C78" s="135"/>
      <c r="D78" s="131">
        <f ca="1">IF($A78&lt;$D$5+$D$4,0,IF(AND($A78&gt;=$D$5,$A78&lt;=INT($D$8)-1+$D$4),LOOKUP($A78,Retraite!$A$7:$A$47,Retraite!$K$7:$K$47)/LOOKUP($A78,Barèmes!$A$65:$A$148,Barèmes!$G$65:$G$148),IF($A78=INT($D$8+$D$4),(LOOKUP($A78,Retraite!$A$7:$A$47,Retraite!$K$7:$K$47)/LOOKUP($A78,Barèmes!$A$65:$A$148,Barèmes!$G$65:$G$148))*(1-(INT($D$8)+1-$D$8)),0)))</f>
        <v>15858.232350265986</v>
      </c>
      <c r="E78" s="151">
        <f ca="1">IF($A78&lt;$D$5+$D$4,0,IF(AND($A78&gt;=$D$5,$A78&lt;=INT($D$8)-1+$D$4),LOOKUP($A78,Retraite!$A$7:$A$47,Retraite!$N$7:$N$47)/LOOKUP($A78,Barèmes!$A$65:$A$148,Barèmes!$G$65:$G$148),IF($A78=INT($D$8+$D$4),(LOOKUP($A78,Retraite!$A$7:$A$47,Retraite!$N$7:$N$47)/LOOKUP($A78,Barèmes!$A$65:$A$148,Barèmes!$G$65:$G$148))*(1-(INT($D$8)+1-$D$8)),0)))</f>
        <v>14378.509483959919</v>
      </c>
      <c r="F78" s="121">
        <f>IF($A78&lt;$D$5+$D$4,LOOKUP($A78,Cot_droits!$A$17:$A$68,Cot_droits!$Q$17:$Q$68)/LOOKUP($A78,Barèmes!$A$65:$A$148,Barèmes!$G$65:$G$148),0)</f>
        <v>0</v>
      </c>
      <c r="G78" s="115"/>
      <c r="H78" s="131">
        <f>IF($A78&lt;$D$5+$D$4,0,IF(AND($A78&gt;=$D$5,$A78&lt;=INT($D$8)-1+$D$4),LOOKUP($A78,Retraite!$A$7:$A$47,Retraite!$L$7:$L$47)/LOOKUP($A78,Barèmes!$A$65:$A$148,Barèmes!$G$65:$G$148),IF($A78=INT($D$8+$D$4),(LOOKUP($A78,Retraite!$A$7:$A$47,Retraite!$L$7:$L$47)/LOOKUP($A78,Barèmes!$A$65:$A$148,Barèmes!$G$65:$G$148))*(1-(INT($D$8)+1-$D$8)),0)))</f>
        <v>12195.860107079607</v>
      </c>
      <c r="I78" s="151">
        <f ca="1">IF($A78&lt;$D$5+$D$4,0,IF(AND($A78&gt;=$D$5,$A78&lt;=INT($D$8)-1+$D$4),LOOKUP($A78,Retraite!$A$7:$A$47,Retraite!$P$7:$P$47)/LOOKUP($A78,Barèmes!$A$65:$A$148,Barèmes!$G$65:$G$148),IF($A78=INT($D$8+$D$4),(LOOKUP($A78,Retraite!$A$7:$A$47,Retraite!$P$7:$P$47)/LOOKUP($A78,Barèmes!$A$65:$A$148,Barèmes!$G$65:$G$148))*(1-(INT($D$8)+1-$D$8)),0)))</f>
        <v>11086.036837335363</v>
      </c>
      <c r="J78" s="121">
        <f>IF($A78&lt;$D$5+$D$4,(LOOKUP($A78,Cot_droits!$A$17:$A$68,Cot_droits!$H$17:$H$68)+LOOKUP($A78,Cot_droits!$A$17:$A$68,Cot_droits!$L$17:$L$68))/LOOKUP($A78,Barèmes!$A$65:$A$148,Barèmes!$G$65:$G$148),0)</f>
        <v>0</v>
      </c>
      <c r="L78" s="131">
        <f ca="1">IF($A78&lt;$D$5+$D$4,0,IF(AND($A78&gt;=$D$5,$A78&lt;=INT($D$8)-1+$D$4),LOOKUP($A78,Retraite!$A$7:$A$47,Retraite!$M$7:$M$47)/LOOKUP($A78,Barèmes!$A$65:$A$148,Barèmes!$G$65:$G$148),IF($A78=INT($D$8+$D$4),(LOOKUP($A78,Retraite!$A$7:$A$47,Retraite!$M$7:$M$47)/LOOKUP($A78,Barèmes!$A$65:$A$148,Barèmes!$G$65:$G$148))*(1-(INT($D$8)+1-$D$8)),0)))</f>
        <v>3662.3722431863785</v>
      </c>
      <c r="M78" s="151">
        <f ca="1">IF($A78&lt;$D$5+$D$4,0,IF(AND($A78&gt;=$D$5,$A78&lt;=INT($D$8)-1+$D$4),LOOKUP($A78,Retraite!$A$7:$A$47,Retraite!$Q$7:$Q$47)/LOOKUP($A78,Barèmes!$A$65:$A$148,Barèmes!$G$65:$G$148),IF($A78=INT($D$8+$D$4),(LOOKUP($A78,Retraite!$A$7:$A$47,Retraite!$Q$7:$Q$47)/LOOKUP($A78,Barèmes!$A$65:$A$148,Barèmes!$G$65:$G$148))*(1-(INT($D$8)+1-$D$8)),0)))</f>
        <v>3292.4726466245547</v>
      </c>
      <c r="N78" s="121">
        <f>IF($A78&lt;$D$5+$D$4,(LOOKUP($A78,Cot_droits!$A$17:$A$68,Cot_droits!$I$17:$I$68)+LOOKUP($A78,Cot_droits!$A$17:$A$68,Cot_droits!$J$17:$J$68)+LOOKUP($A78,Cot_droits!$A$17:$A$68,Cot_droits!$N$17:$N$68))/LOOKUP($A78,Barèmes!$A$65:$A$148,Barèmes!$G$65:$G$148),0)</f>
        <v>0</v>
      </c>
      <c r="O78" s="115"/>
    </row>
    <row r="79" spans="1:15" s="43" customFormat="1" ht="15.75" customHeight="1" x14ac:dyDescent="0.25">
      <c r="A79" s="148">
        <f>TRI_prix!A73</f>
        <v>2078</v>
      </c>
      <c r="B79" s="121">
        <f>Cot_droits!C78/LOOKUP($A79,Barèmes!$A$65:$A$148,Barèmes!$G$65:$G$148)</f>
        <v>0</v>
      </c>
      <c r="C79" s="135"/>
      <c r="D79" s="131">
        <f ca="1">IF($A79&lt;$D$5+$D$4,0,IF(AND($A79&gt;=$D$5,$A79&lt;=INT($D$8)-1+$D$4),LOOKUP($A79,Retraite!$A$7:$A$47,Retraite!$K$7:$K$47)/LOOKUP($A79,Barèmes!$A$65:$A$148,Barèmes!$G$65:$G$148),IF($A79=INT($D$8+$D$4),(LOOKUP($A79,Retraite!$A$7:$A$47,Retraite!$K$7:$K$47)/LOOKUP($A79,Barèmes!$A$65:$A$148,Barèmes!$G$65:$G$148))*(1-(INT($D$8)+1-$D$8)),0)))</f>
        <v>15660.503796805096</v>
      </c>
      <c r="E79" s="151">
        <f ca="1">IF($A79&lt;$D$5+$D$4,0,IF(AND($A79&gt;=$D$5,$A79&lt;=INT($D$8)-1+$D$4),LOOKUP($A79,Retraite!$A$7:$A$47,Retraite!$N$7:$N$47)/LOOKUP($A79,Barèmes!$A$65:$A$148,Barèmes!$G$65:$G$148),IF($A79=INT($D$8+$D$4),(LOOKUP($A79,Retraite!$A$7:$A$47,Retraite!$N$7:$N$47)/LOOKUP($A79,Barèmes!$A$65:$A$148,Barèmes!$G$65:$G$148))*(1-(INT($D$8)+1-$D$8)),0)))</f>
        <v>14199.18639908375</v>
      </c>
      <c r="F79" s="121">
        <f>IF($A79&lt;$D$5+$D$4,LOOKUP($A79,Cot_droits!$A$17:$A$68,Cot_droits!$Q$17:$Q$68)/LOOKUP($A79,Barèmes!$A$65:$A$148,Barèmes!$G$65:$G$148),0)</f>
        <v>0</v>
      </c>
      <c r="G79" s="115"/>
      <c r="H79" s="131">
        <f>IF($A79&lt;$D$5+$D$4,0,IF(AND($A79&gt;=$D$5,$A79&lt;=INT($D$8)-1+$D$4),LOOKUP($A79,Retraite!$A$7:$A$47,Retraite!$L$7:$L$47)/LOOKUP($A79,Barèmes!$A$65:$A$148,Barèmes!$G$65:$G$148),IF($A79=INT($D$8+$D$4),(LOOKUP($A79,Retraite!$A$7:$A$47,Retraite!$L$7:$L$47)/LOOKUP($A79,Barèmes!$A$65:$A$148,Barèmes!$G$65:$G$148))*(1-(INT($D$8)+1-$D$8)),0)))</f>
        <v>12039.348575596847</v>
      </c>
      <c r="I79" s="151">
        <f ca="1">IF($A79&lt;$D$5+$D$4,0,IF(AND($A79&gt;=$D$5,$A79&lt;=INT($D$8)-1+$D$4),LOOKUP($A79,Retraite!$A$7:$A$47,Retraite!$P$7:$P$47)/LOOKUP($A79,Barèmes!$A$65:$A$148,Barèmes!$G$65:$G$148),IF($A79=INT($D$8+$D$4),(LOOKUP($A79,Retraite!$A$7:$A$47,Retraite!$P$7:$P$47)/LOOKUP($A79,Barèmes!$A$65:$A$148,Barèmes!$G$65:$G$148))*(1-(INT($D$8)+1-$D$8)),0)))</f>
        <v>10943.767855217533</v>
      </c>
      <c r="J79" s="121">
        <f>IF($A79&lt;$D$5+$D$4,(LOOKUP($A79,Cot_droits!$A$17:$A$68,Cot_droits!$H$17:$H$68)+LOOKUP($A79,Cot_droits!$A$17:$A$68,Cot_droits!$L$17:$L$68))/LOOKUP($A79,Barèmes!$A$65:$A$148,Barèmes!$G$65:$G$148),0)</f>
        <v>0</v>
      </c>
      <c r="L79" s="131">
        <f ca="1">IF($A79&lt;$D$5+$D$4,0,IF(AND($A79&gt;=$D$5,$A79&lt;=INT($D$8)-1+$D$4),LOOKUP($A79,Retraite!$A$7:$A$47,Retraite!$M$7:$M$47)/LOOKUP($A79,Barèmes!$A$65:$A$148,Barèmes!$G$65:$G$148),IF($A79=INT($D$8+$D$4),(LOOKUP($A79,Retraite!$A$7:$A$47,Retraite!$M$7:$M$47)/LOOKUP($A79,Barèmes!$A$65:$A$148,Barèmes!$G$65:$G$148))*(1-(INT($D$8)+1-$D$8)),0)))</f>
        <v>3621.1552212082493</v>
      </c>
      <c r="M79" s="151">
        <f ca="1">IF($A79&lt;$D$5+$D$4,0,IF(AND($A79&gt;=$D$5,$A79&lt;=INT($D$8)-1+$D$4),LOOKUP($A79,Retraite!$A$7:$A$47,Retraite!$Q$7:$Q$47)/LOOKUP($A79,Barèmes!$A$65:$A$148,Barèmes!$G$65:$G$148),IF($A79=INT($D$8+$D$4),(LOOKUP($A79,Retraite!$A$7:$A$47,Retraite!$Q$7:$Q$47)/LOOKUP($A79,Barèmes!$A$65:$A$148,Barèmes!$G$65:$G$148))*(1-(INT($D$8)+1-$D$8)),0)))</f>
        <v>3255.4185438662157</v>
      </c>
      <c r="N79" s="121">
        <f>IF($A79&lt;$D$5+$D$4,(LOOKUP($A79,Cot_droits!$A$17:$A$68,Cot_droits!$I$17:$I$68)+LOOKUP($A79,Cot_droits!$A$17:$A$68,Cot_droits!$J$17:$J$68)+LOOKUP($A79,Cot_droits!$A$17:$A$68,Cot_droits!$N$17:$N$68))/LOOKUP($A79,Barèmes!$A$65:$A$148,Barèmes!$G$65:$G$148),0)</f>
        <v>0</v>
      </c>
      <c r="O79" s="115"/>
    </row>
    <row r="80" spans="1:15" s="43" customFormat="1" ht="15.75" customHeight="1" x14ac:dyDescent="0.25">
      <c r="A80" s="148">
        <f>TRI_prix!A74</f>
        <v>2079</v>
      </c>
      <c r="B80" s="121">
        <f>Cot_droits!C79/LOOKUP($A80,Barèmes!$A$65:$A$148,Barèmes!$G$65:$G$148)</f>
        <v>0</v>
      </c>
      <c r="C80" s="135"/>
      <c r="D80" s="131">
        <f ca="1">IF($A80&lt;$D$5+$D$4,0,IF(AND($A80&gt;=$D$5,$A80&lt;=INT($D$8)-1+$D$4),LOOKUP($A80,Retraite!$A$7:$A$47,Retraite!$K$7:$K$47)/LOOKUP($A80,Barèmes!$A$65:$A$148,Barèmes!$G$65:$G$148),IF($A80=INT($D$8+$D$4),(LOOKUP($A80,Retraite!$A$7:$A$47,Retraite!$K$7:$K$47)/LOOKUP($A80,Barèmes!$A$65:$A$148,Barèmes!$G$65:$G$148))*(1-(INT($D$8)+1-$D$8)),0)))</f>
        <v>15465.247646319423</v>
      </c>
      <c r="E80" s="151">
        <f ca="1">IF($A80&lt;$D$5+$D$4,0,IF(AND($A80&gt;=$D$5,$A80&lt;=INT($D$8)-1+$D$4),LOOKUP($A80,Retraite!$A$7:$A$47,Retraite!$N$7:$N$47)/LOOKUP($A80,Barèmes!$A$65:$A$148,Barèmes!$G$65:$G$148),IF($A80=INT($D$8+$D$4),(LOOKUP($A80,Retraite!$A$7:$A$47,Retraite!$N$7:$N$47)/LOOKUP($A80,Barèmes!$A$65:$A$148,Barèmes!$G$65:$G$148))*(1-(INT($D$8)+1-$D$8)),0)))</f>
        <v>14022.106089871337</v>
      </c>
      <c r="F80" s="121">
        <f>IF($A80&lt;$D$5+$D$4,LOOKUP($A80,Cot_droits!$A$17:$A$68,Cot_droits!$Q$17:$Q$68)/LOOKUP($A80,Barèmes!$A$65:$A$148,Barèmes!$G$65:$G$148),0)</f>
        <v>0</v>
      </c>
      <c r="G80" s="115"/>
      <c r="H80" s="131">
        <f>IF($A80&lt;$D$5+$D$4,0,IF(AND($A80&gt;=$D$5,$A80&lt;=INT($D$8)-1+$D$4),LOOKUP($A80,Retraite!$A$7:$A$47,Retraite!$L$7:$L$47)/LOOKUP($A80,Barèmes!$A$65:$A$148,Barèmes!$G$65:$G$148),IF($A80=INT($D$8+$D$4),(LOOKUP($A80,Retraite!$A$7:$A$47,Retraite!$L$7:$L$47)/LOOKUP($A80,Barèmes!$A$65:$A$148,Barèmes!$G$65:$G$148))*(1-(INT($D$8)+1-$D$8)),0)))</f>
        <v>11884.845583017619</v>
      </c>
      <c r="I80" s="151">
        <f ca="1">IF($A80&lt;$D$5+$D$4,0,IF(AND($A80&gt;=$D$5,$A80&lt;=INT($D$8)-1+$D$4),LOOKUP($A80,Retraite!$A$7:$A$47,Retraite!$P$7:$P$47)/LOOKUP($A80,Barèmes!$A$65:$A$148,Barèmes!$G$65:$G$148),IF($A80=INT($D$8+$D$4),(LOOKUP($A80,Retraite!$A$7:$A$47,Retraite!$P$7:$P$47)/LOOKUP($A80,Barèmes!$A$65:$A$148,Barèmes!$G$65:$G$148))*(1-(INT($D$8)+1-$D$8)),0)))</f>
        <v>10803.324634963017</v>
      </c>
      <c r="J80" s="121">
        <f>IF($A80&lt;$D$5+$D$4,(LOOKUP($A80,Cot_droits!$A$17:$A$68,Cot_droits!$H$17:$H$68)+LOOKUP($A80,Cot_droits!$A$17:$A$68,Cot_droits!$L$17:$L$68))/LOOKUP($A80,Barèmes!$A$65:$A$148,Barèmes!$G$65:$G$148),0)</f>
        <v>0</v>
      </c>
      <c r="L80" s="131">
        <f ca="1">IF($A80&lt;$D$5+$D$4,0,IF(AND($A80&gt;=$D$5,$A80&lt;=INT($D$8)-1+$D$4),LOOKUP($A80,Retraite!$A$7:$A$47,Retraite!$M$7:$M$47)/LOOKUP($A80,Barèmes!$A$65:$A$148,Barèmes!$G$65:$G$148),IF($A80=INT($D$8+$D$4),(LOOKUP($A80,Retraite!$A$7:$A$47,Retraite!$M$7:$M$47)/LOOKUP($A80,Barèmes!$A$65:$A$148,Barèmes!$G$65:$G$148))*(1-(INT($D$8)+1-$D$8)),0)))</f>
        <v>3580.4020633018035</v>
      </c>
      <c r="M80" s="151">
        <f ca="1">IF($A80&lt;$D$5+$D$4,0,IF(AND($A80&gt;=$D$5,$A80&lt;=INT($D$8)-1+$D$4),LOOKUP($A80,Retraite!$A$7:$A$47,Retraite!$Q$7:$Q$47)/LOOKUP($A80,Barèmes!$A$65:$A$148,Barèmes!$G$65:$G$148),IF($A80=INT($D$8+$D$4),(LOOKUP($A80,Retraite!$A$7:$A$47,Retraite!$Q$7:$Q$47)/LOOKUP($A80,Barèmes!$A$65:$A$148,Barèmes!$G$65:$G$148))*(1-(INT($D$8)+1-$D$8)),0)))</f>
        <v>3218.7814549083209</v>
      </c>
      <c r="N80" s="121">
        <f>IF($A80&lt;$D$5+$D$4,(LOOKUP($A80,Cot_droits!$A$17:$A$68,Cot_droits!$I$17:$I$68)+LOOKUP($A80,Cot_droits!$A$17:$A$68,Cot_droits!$J$17:$J$68)+LOOKUP($A80,Cot_droits!$A$17:$A$68,Cot_droits!$N$17:$N$68))/LOOKUP($A80,Barèmes!$A$65:$A$148,Barèmes!$G$65:$G$148),0)</f>
        <v>0</v>
      </c>
      <c r="O80" s="115"/>
    </row>
    <row r="81" spans="1:15" s="43" customFormat="1" ht="15.75" customHeight="1" x14ac:dyDescent="0.25">
      <c r="A81" s="148">
        <f>TRI_prix!A75</f>
        <v>2080</v>
      </c>
      <c r="B81" s="121">
        <f>Cot_droits!C80/LOOKUP($A81,Barèmes!$A$65:$A$148,Barèmes!$G$65:$G$148)</f>
        <v>0</v>
      </c>
      <c r="C81" s="135"/>
      <c r="D81" s="131">
        <f ca="1">IF($A81&lt;$D$5+$D$4,0,IF(AND($A81&gt;=$D$5,$A81&lt;=INT($D$8)-1+$D$4),LOOKUP($A81,Retraite!$A$7:$A$47,Retraite!$K$7:$K$47)/LOOKUP($A81,Barèmes!$A$65:$A$148,Barèmes!$G$65:$G$148),IF($A81=INT($D$8+$D$4),(LOOKUP($A81,Retraite!$A$7:$A$47,Retraite!$K$7:$K$47)/LOOKUP($A81,Barèmes!$A$65:$A$148,Barèmes!$G$65:$G$148))*(1-(INT($D$8)+1-$D$8)),0)))</f>
        <v>15272.432902477169</v>
      </c>
      <c r="E81" s="151">
        <f ca="1">IF($A81&lt;$D$5+$D$4,0,IF(AND($A81&gt;=$D$5,$A81&lt;=INT($D$8)-1+$D$4),LOOKUP($A81,Retraite!$A$7:$A$47,Retraite!$N$7:$N$47)/LOOKUP($A81,Barèmes!$A$65:$A$148,Barèmes!$G$65:$G$148),IF($A81=INT($D$8+$D$4),(LOOKUP($A81,Retraite!$A$7:$A$47,Retraite!$N$7:$N$47)/LOOKUP($A81,Barèmes!$A$65:$A$148,Barèmes!$G$65:$G$148))*(1-(INT($D$8)+1-$D$8)),0)))</f>
        <v>13847.240432861207</v>
      </c>
      <c r="F81" s="121">
        <f>IF($A81&lt;$D$5+$D$4,LOOKUP($A81,Cot_droits!$A$17:$A$68,Cot_droits!$Q$17:$Q$68)/LOOKUP($A81,Barèmes!$A$65:$A$148,Barèmes!$G$65:$G$148),0)</f>
        <v>0</v>
      </c>
      <c r="G81" s="115"/>
      <c r="H81" s="131">
        <f>IF($A81&lt;$D$5+$D$4,0,IF(AND($A81&gt;=$D$5,$A81&lt;=INT($D$8)-1+$D$4),LOOKUP($A81,Retraite!$A$7:$A$47,Retraite!$L$7:$L$47)/LOOKUP($A81,Barèmes!$A$65:$A$148,Barèmes!$G$65:$G$148),IF($A81=INT($D$8+$D$4),(LOOKUP($A81,Retraite!$A$7:$A$47,Retraite!$L$7:$L$47)/LOOKUP($A81,Barèmes!$A$65:$A$148,Barèmes!$G$65:$G$148))*(1-(INT($D$8)+1-$D$8)),0)))</f>
        <v>11732.325353423117</v>
      </c>
      <c r="I81" s="151">
        <f ca="1">IF($A81&lt;$D$5+$D$4,0,IF(AND($A81&gt;=$D$5,$A81&lt;=INT($D$8)-1+$D$4),LOOKUP($A81,Retraite!$A$7:$A$47,Retraite!$P$7:$P$47)/LOOKUP($A81,Barèmes!$A$65:$A$148,Barèmes!$G$65:$G$148),IF($A81=INT($D$8+$D$4),(LOOKUP($A81,Retraite!$A$7:$A$47,Retraite!$P$7:$P$47)/LOOKUP($A81,Barèmes!$A$65:$A$148,Barèmes!$G$65:$G$148))*(1-(INT($D$8)+1-$D$8)),0)))</f>
        <v>10664.683746261613</v>
      </c>
      <c r="J81" s="121">
        <f>IF($A81&lt;$D$5+$D$4,(LOOKUP($A81,Cot_droits!$A$17:$A$68,Cot_droits!$H$17:$H$68)+LOOKUP($A81,Cot_droits!$A$17:$A$68,Cot_droits!$L$17:$L$68))/LOOKUP($A81,Barèmes!$A$65:$A$148,Barèmes!$G$65:$G$148),0)</f>
        <v>0</v>
      </c>
      <c r="L81" s="131">
        <f ca="1">IF($A81&lt;$D$5+$D$4,0,IF(AND($A81&gt;=$D$5,$A81&lt;=INT($D$8)-1+$D$4),LOOKUP($A81,Retraite!$A$7:$A$47,Retraite!$M$7:$M$47)/LOOKUP($A81,Barèmes!$A$65:$A$148,Barèmes!$G$65:$G$148),IF($A81=INT($D$8+$D$4),(LOOKUP($A81,Retraite!$A$7:$A$47,Retraite!$M$7:$M$47)/LOOKUP($A81,Barèmes!$A$65:$A$148,Barèmes!$G$65:$G$148))*(1-(INT($D$8)+1-$D$8)),0)))</f>
        <v>3540.1075490540497</v>
      </c>
      <c r="M81" s="151">
        <f ca="1">IF($A81&lt;$D$5+$D$4,0,IF(AND($A81&gt;=$D$5,$A81&lt;=INT($D$8)-1+$D$4),LOOKUP($A81,Retraite!$A$7:$A$47,Retraite!$Q$7:$Q$47)/LOOKUP($A81,Barèmes!$A$65:$A$148,Barèmes!$G$65:$G$148),IF($A81=INT($D$8+$D$4),(LOOKUP($A81,Retraite!$A$7:$A$47,Retraite!$Q$7:$Q$47)/LOOKUP($A81,Barèmes!$A$65:$A$148,Barèmes!$G$65:$G$148))*(1-(INT($D$8)+1-$D$8)),0)))</f>
        <v>3182.5566865995906</v>
      </c>
      <c r="N81" s="121">
        <f>IF($A81&lt;$D$5+$D$4,(LOOKUP($A81,Cot_droits!$A$17:$A$68,Cot_droits!$I$17:$I$68)+LOOKUP($A81,Cot_droits!$A$17:$A$68,Cot_droits!$J$17:$J$68)+LOOKUP($A81,Cot_droits!$A$17:$A$68,Cot_droits!$N$17:$N$68))/LOOKUP($A81,Barèmes!$A$65:$A$148,Barèmes!$G$65:$G$148),0)</f>
        <v>0</v>
      </c>
      <c r="O81" s="115"/>
    </row>
    <row r="82" spans="1:15" s="43" customFormat="1" ht="15.75" customHeight="1" x14ac:dyDescent="0.25">
      <c r="A82" s="148">
        <f>TRI_prix!A76</f>
        <v>2081</v>
      </c>
      <c r="B82" s="121">
        <f>Cot_droits!C81/LOOKUP($A82,Barèmes!$A$65:$A$148,Barèmes!$G$65:$G$148)</f>
        <v>0</v>
      </c>
      <c r="C82" s="135"/>
      <c r="D82" s="131">
        <f ca="1">IF($A82&lt;$D$5+$D$4,0,IF(AND($A82&gt;=$D$5,$A82&lt;=INT($D$8)-1+$D$4),LOOKUP($A82,Retraite!$A$7:$A$47,Retraite!$K$7:$K$47)/LOOKUP($A82,Barèmes!$A$65:$A$148,Barèmes!$G$65:$G$148),IF($A82=INT($D$8+$D$4),(LOOKUP($A82,Retraite!$A$7:$A$47,Retraite!$K$7:$K$47)/LOOKUP($A82,Barèmes!$A$65:$A$148,Barèmes!$G$65:$G$148))*(1-(INT($D$8)+1-$D$8)),0)))</f>
        <v>15082.028958484763</v>
      </c>
      <c r="E82" s="151">
        <f ca="1">IF($A82&lt;$D$5+$D$4,0,IF(AND($A82&gt;=$D$5,$A82&lt;=INT($D$8)-1+$D$4),LOOKUP($A82,Retraite!$A$7:$A$47,Retraite!$N$7:$N$47)/LOOKUP($A82,Barèmes!$A$65:$A$148,Barèmes!$G$65:$G$148),IF($A82=INT($D$8+$D$4),(LOOKUP($A82,Retraite!$A$7:$A$47,Retraite!$N$7:$N$47)/LOOKUP($A82,Barèmes!$A$65:$A$148,Barèmes!$G$65:$G$148))*(1-(INT($D$8)+1-$D$8)),0)))</f>
        <v>13674.561658094615</v>
      </c>
      <c r="F82" s="121">
        <f>IF($A82&lt;$D$5+$D$4,LOOKUP($A82,Cot_droits!$A$17:$A$68,Cot_droits!$Q$17:$Q$68)/LOOKUP($A82,Barèmes!$A$65:$A$148,Barèmes!$G$65:$G$148),0)</f>
        <v>0</v>
      </c>
      <c r="G82" s="115"/>
      <c r="H82" s="131">
        <f>IF($A82&lt;$D$5+$D$4,0,IF(AND($A82&gt;=$D$5,$A82&lt;=INT($D$8)-1+$D$4),LOOKUP($A82,Retraite!$A$7:$A$47,Retraite!$L$7:$L$47)/LOOKUP($A82,Barèmes!$A$65:$A$148,Barèmes!$G$65:$G$148),IF($A82=INT($D$8+$D$4),(LOOKUP($A82,Retraite!$A$7:$A$47,Retraite!$L$7:$L$47)/LOOKUP($A82,Barèmes!$A$65:$A$148,Barèmes!$G$65:$G$148))*(1-(INT($D$8)+1-$D$8)),0)))</f>
        <v>11581.762441681263</v>
      </c>
      <c r="I82" s="151">
        <f ca="1">IF($A82&lt;$D$5+$D$4,0,IF(AND($A82&gt;=$D$5,$A82&lt;=INT($D$8)-1+$D$4),LOOKUP($A82,Retraite!$A$7:$A$47,Retraite!$P$7:$P$47)/LOOKUP($A82,Barèmes!$A$65:$A$148,Barèmes!$G$65:$G$148),IF($A82=INT($D$8+$D$4),(LOOKUP($A82,Retraite!$A$7:$A$47,Retraite!$P$7:$P$47)/LOOKUP($A82,Barèmes!$A$65:$A$148,Barèmes!$G$65:$G$148))*(1-(INT($D$8)+1-$D$8)),0)))</f>
        <v>10527.822059488268</v>
      </c>
      <c r="J82" s="121">
        <f>IF($A82&lt;$D$5+$D$4,(LOOKUP($A82,Cot_droits!$A$17:$A$68,Cot_droits!$H$17:$H$68)+LOOKUP($A82,Cot_droits!$A$17:$A$68,Cot_droits!$L$17:$L$68))/LOOKUP($A82,Barèmes!$A$65:$A$148,Barèmes!$G$65:$G$148),0)</f>
        <v>0</v>
      </c>
      <c r="L82" s="131">
        <f ca="1">IF($A82&lt;$D$5+$D$4,0,IF(AND($A82&gt;=$D$5,$A82&lt;=INT($D$8)-1+$D$4),LOOKUP($A82,Retraite!$A$7:$A$47,Retraite!$M$7:$M$47)/LOOKUP($A82,Barèmes!$A$65:$A$148,Barèmes!$G$65:$G$148),IF($A82=INT($D$8+$D$4),(LOOKUP($A82,Retraite!$A$7:$A$47,Retraite!$M$7:$M$47)/LOOKUP($A82,Barèmes!$A$65:$A$148,Barèmes!$G$65:$G$148))*(1-(INT($D$8)+1-$D$8)),0)))</f>
        <v>3500.2665168035014</v>
      </c>
      <c r="M82" s="151">
        <f ca="1">IF($A82&lt;$D$5+$D$4,0,IF(AND($A82&gt;=$D$5,$A82&lt;=INT($D$8)-1+$D$4),LOOKUP($A82,Retraite!$A$7:$A$47,Retraite!$Q$7:$Q$47)/LOOKUP($A82,Barèmes!$A$65:$A$148,Barèmes!$G$65:$G$148),IF($A82=INT($D$8+$D$4),(LOOKUP($A82,Retraite!$A$7:$A$47,Retraite!$Q$7:$Q$47)/LOOKUP($A82,Barèmes!$A$65:$A$148,Barèmes!$G$65:$G$148))*(1-(INT($D$8)+1-$D$8)),0)))</f>
        <v>3146.739598606348</v>
      </c>
      <c r="N82" s="121">
        <f>IF($A82&lt;$D$5+$D$4,(LOOKUP($A82,Cot_droits!$A$17:$A$68,Cot_droits!$I$17:$I$68)+LOOKUP($A82,Cot_droits!$A$17:$A$68,Cot_droits!$J$17:$J$68)+LOOKUP($A82,Cot_droits!$A$17:$A$68,Cot_droits!$N$17:$N$68))/LOOKUP($A82,Barèmes!$A$65:$A$148,Barèmes!$G$65:$G$148),0)</f>
        <v>0</v>
      </c>
      <c r="O82" s="115"/>
    </row>
    <row r="83" spans="1:15" s="43" customFormat="1" ht="15.75" customHeight="1" x14ac:dyDescent="0.25">
      <c r="A83" s="148">
        <f>TRI_prix!A77</f>
        <v>2082</v>
      </c>
      <c r="B83" s="121">
        <f>Cot_droits!C82/LOOKUP($A83,Barèmes!$A$65:$A$148,Barèmes!$G$65:$G$148)</f>
        <v>0</v>
      </c>
      <c r="C83" s="135"/>
      <c r="D83" s="131">
        <f ca="1">IF($A83&lt;$D$5+$D$4,0,IF(AND($A83&gt;=$D$5,$A83&lt;=INT($D$8)-1+$D$4),LOOKUP($A83,Retraite!$A$7:$A$47,Retraite!$K$7:$K$47)/LOOKUP($A83,Barèmes!$A$65:$A$148,Barèmes!$G$65:$G$148),IF($A83=INT($D$8+$D$4),(LOOKUP($A83,Retraite!$A$7:$A$47,Retraite!$K$7:$K$47)/LOOKUP($A83,Barèmes!$A$65:$A$148,Barèmes!$G$65:$G$148))*(1-(INT($D$8)+1-$D$8)),0)))</f>
        <v>14894.005592180618</v>
      </c>
      <c r="E83" s="151">
        <f ca="1">IF($A83&lt;$D$5+$D$4,0,IF(AND($A83&gt;=$D$5,$A83&lt;=INT($D$8)-1+$D$4),LOOKUP($A83,Retraite!$A$7:$A$47,Retraite!$N$7:$N$47)/LOOKUP($A83,Barèmes!$A$65:$A$148,Barèmes!$G$65:$G$148),IF($A83=INT($D$8+$D$4),(LOOKUP($A83,Retraite!$A$7:$A$47,Retraite!$N$7:$N$47)/LOOKUP($A83,Barèmes!$A$65:$A$148,Barèmes!$G$65:$G$148))*(1-(INT($D$8)+1-$D$8)),0)))</f>
        <v>13504.042344662394</v>
      </c>
      <c r="F83" s="121">
        <f>IF($A83&lt;$D$5+$D$4,LOOKUP($A83,Cot_droits!$A$17:$A$68,Cot_droits!$Q$17:$Q$68)/LOOKUP($A83,Barèmes!$A$65:$A$148,Barèmes!$G$65:$G$148),0)</f>
        <v>0</v>
      </c>
      <c r="G83" s="115"/>
      <c r="H83" s="131">
        <f>IF($A83&lt;$D$5+$D$4,0,IF(AND($A83&gt;=$D$5,$A83&lt;=INT($D$8)-1+$D$4),LOOKUP($A83,Retraite!$A$7:$A$47,Retraite!$L$7:$L$47)/LOOKUP($A83,Barèmes!$A$65:$A$148,Barèmes!$G$65:$G$148),IF($A83=INT($D$8+$D$4),(LOOKUP($A83,Retraite!$A$7:$A$47,Retraite!$L$7:$L$47)/LOOKUP($A83,Barèmes!$A$65:$A$148,Barèmes!$G$65:$G$148))*(1-(INT($D$8)+1-$D$8)),0)))</f>
        <v>11433.131729201643</v>
      </c>
      <c r="I83" s="151">
        <f ca="1">IF($A83&lt;$D$5+$D$4,0,IF(AND($A83&gt;=$D$5,$A83&lt;=INT($D$8)-1+$D$4),LOOKUP($A83,Retraite!$A$7:$A$47,Retraite!$P$7:$P$47)/LOOKUP($A83,Barèmes!$A$65:$A$148,Barèmes!$G$65:$G$148),IF($A83=INT($D$8+$D$4),(LOOKUP($A83,Retraite!$A$7:$A$47,Retraite!$P$7:$P$47)/LOOKUP($A83,Barèmes!$A$65:$A$148,Barèmes!$G$65:$G$148))*(1-(INT($D$8)+1-$D$8)),0)))</f>
        <v>10392.716741844295</v>
      </c>
      <c r="J83" s="121">
        <f>IF($A83&lt;$D$5+$D$4,(LOOKUP($A83,Cot_droits!$A$17:$A$68,Cot_droits!$H$17:$H$68)+LOOKUP($A83,Cot_droits!$A$17:$A$68,Cot_droits!$L$17:$L$68))/LOOKUP($A83,Barèmes!$A$65:$A$148,Barèmes!$G$65:$G$148),0)</f>
        <v>0</v>
      </c>
      <c r="L83" s="131">
        <f ca="1">IF($A83&lt;$D$5+$D$4,0,IF(AND($A83&gt;=$D$5,$A83&lt;=INT($D$8)-1+$D$4),LOOKUP($A83,Retraite!$A$7:$A$47,Retraite!$M$7:$M$47)/LOOKUP($A83,Barèmes!$A$65:$A$148,Barèmes!$G$65:$G$148),IF($A83=INT($D$8+$D$4),(LOOKUP($A83,Retraite!$A$7:$A$47,Retraite!$M$7:$M$47)/LOOKUP($A83,Barèmes!$A$65:$A$148,Barèmes!$G$65:$G$148))*(1-(INT($D$8)+1-$D$8)),0)))</f>
        <v>3460.8738629789746</v>
      </c>
      <c r="M83" s="151">
        <f ca="1">IF($A83&lt;$D$5+$D$4,0,IF(AND($A83&gt;=$D$5,$A83&lt;=INT($D$8)-1+$D$4),LOOKUP($A83,Retraite!$A$7:$A$47,Retraite!$Q$7:$Q$47)/LOOKUP($A83,Barèmes!$A$65:$A$148,Barèmes!$G$65:$G$148),IF($A83=INT($D$8+$D$4),(LOOKUP($A83,Retraite!$A$7:$A$47,Retraite!$Q$7:$Q$47)/LOOKUP($A83,Barèmes!$A$65:$A$148,Barèmes!$G$65:$G$148))*(1-(INT($D$8)+1-$D$8)),0)))</f>
        <v>3111.3256028180981</v>
      </c>
      <c r="N83" s="121">
        <f>IF($A83&lt;$D$5+$D$4,(LOOKUP($A83,Cot_droits!$A$17:$A$68,Cot_droits!$I$17:$I$68)+LOOKUP($A83,Cot_droits!$A$17:$A$68,Cot_droits!$J$17:$J$68)+LOOKUP($A83,Cot_droits!$A$17:$A$68,Cot_droits!$N$17:$N$68))/LOOKUP($A83,Barèmes!$A$65:$A$148,Barèmes!$G$65:$G$148),0)</f>
        <v>0</v>
      </c>
      <c r="O83" s="115"/>
    </row>
    <row r="84" spans="1:15" s="43" customFormat="1" ht="15.75" customHeight="1" x14ac:dyDescent="0.25">
      <c r="A84" s="148">
        <f>TRI_prix!A78</f>
        <v>2083</v>
      </c>
      <c r="B84" s="121">
        <f>Cot_droits!C83/LOOKUP($A84,Barèmes!$A$65:$A$148,Barèmes!$G$65:$G$148)</f>
        <v>0</v>
      </c>
      <c r="C84" s="135"/>
      <c r="D84" s="131">
        <f ca="1">IF($A84&lt;$D$5+$D$4,0,IF(AND($A84&gt;=$D$5,$A84&lt;=INT($D$8)-1+$D$4),LOOKUP($A84,Retraite!$A$7:$A$47,Retraite!$K$7:$K$47)/LOOKUP($A84,Barèmes!$A$65:$A$148,Barèmes!$G$65:$G$148),IF($A84=INT($D$8+$D$4),(LOOKUP($A84,Retraite!$A$7:$A$47,Retraite!$K$7:$K$47)/LOOKUP($A84,Barèmes!$A$65:$A$148,Barèmes!$G$65:$G$148))*(1-(INT($D$8)+1-$D$8)),0)))</f>
        <v>14708.332961190785</v>
      </c>
      <c r="E84" s="151">
        <f ca="1">IF($A84&lt;$D$5+$D$4,0,IF(AND($A84&gt;=$D$5,$A84&lt;=INT($D$8)-1+$D$4),LOOKUP($A84,Retraite!$A$7:$A$47,Retraite!$N$7:$N$47)/LOOKUP($A84,Barèmes!$A$65:$A$148,Barèmes!$G$65:$G$148),IF($A84=INT($D$8+$D$4),(LOOKUP($A84,Retraite!$A$7:$A$47,Retraite!$N$7:$N$47)/LOOKUP($A84,Barèmes!$A$65:$A$148,Barèmes!$G$65:$G$148))*(1-(INT($D$8)+1-$D$8)),0)))</f>
        <v>13335.655416307967</v>
      </c>
      <c r="F84" s="121">
        <f>IF($A84&lt;$D$5+$D$4,LOOKUP($A84,Cot_droits!$A$17:$A$68,Cot_droits!$Q$17:$Q$68)/LOOKUP($A84,Barèmes!$A$65:$A$148,Barèmes!$G$65:$G$148),0)</f>
        <v>0</v>
      </c>
      <c r="G84" s="115"/>
      <c r="H84" s="131">
        <f>IF($A84&lt;$D$5+$D$4,0,IF(AND($A84&gt;=$D$5,$A84&lt;=INT($D$8)-1+$D$4),LOOKUP($A84,Retraite!$A$7:$A$47,Retraite!$L$7:$L$47)/LOOKUP($A84,Barèmes!$A$65:$A$148,Barèmes!$G$65:$G$148),IF($A84=INT($D$8+$D$4),(LOOKUP($A84,Retraite!$A$7:$A$47,Retraite!$L$7:$L$47)/LOOKUP($A84,Barèmes!$A$65:$A$148,Barèmes!$G$65:$G$148))*(1-(INT($D$8)+1-$D$8)),0)))</f>
        <v>11286.408419744957</v>
      </c>
      <c r="I84" s="151">
        <f ca="1">IF($A84&lt;$D$5+$D$4,0,IF(AND($A84&gt;=$D$5,$A84&lt;=INT($D$8)-1+$D$4),LOOKUP($A84,Retraite!$A$7:$A$47,Retraite!$P$7:$P$47)/LOOKUP($A84,Barèmes!$A$65:$A$148,Barèmes!$G$65:$G$148),IF($A84=INT($D$8+$D$4),(LOOKUP($A84,Retraite!$A$7:$A$47,Retraite!$P$7:$P$47)/LOOKUP($A84,Barèmes!$A$65:$A$148,Barèmes!$G$65:$G$148))*(1-(INT($D$8)+1-$D$8)),0)))</f>
        <v>10259.345253548167</v>
      </c>
      <c r="J84" s="121">
        <f>IF($A84&lt;$D$5+$D$4,(LOOKUP($A84,Cot_droits!$A$17:$A$68,Cot_droits!$H$17:$H$68)+LOOKUP($A84,Cot_droits!$A$17:$A$68,Cot_droits!$L$17:$L$68))/LOOKUP($A84,Barèmes!$A$65:$A$148,Barèmes!$G$65:$G$148),0)</f>
        <v>0</v>
      </c>
      <c r="L84" s="131">
        <f ca="1">IF($A84&lt;$D$5+$D$4,0,IF(AND($A84&gt;=$D$5,$A84&lt;=INT($D$8)-1+$D$4),LOOKUP($A84,Retraite!$A$7:$A$47,Retraite!$M$7:$M$47)/LOOKUP($A84,Barèmes!$A$65:$A$148,Barèmes!$G$65:$G$148),IF($A84=INT($D$8+$D$4),(LOOKUP($A84,Retraite!$A$7:$A$47,Retraite!$M$7:$M$47)/LOOKUP($A84,Barèmes!$A$65:$A$148,Barèmes!$G$65:$G$148))*(1-(INT($D$8)+1-$D$8)),0)))</f>
        <v>3421.9245414458273</v>
      </c>
      <c r="M84" s="151">
        <f ca="1">IF($A84&lt;$D$5+$D$4,0,IF(AND($A84&gt;=$D$5,$A84&lt;=INT($D$8)-1+$D$4),LOOKUP($A84,Retraite!$A$7:$A$47,Retraite!$Q$7:$Q$47)/LOOKUP($A84,Barèmes!$A$65:$A$148,Barèmes!$G$65:$G$148),IF($A84=INT($D$8+$D$4),(LOOKUP($A84,Retraite!$A$7:$A$47,Retraite!$Q$7:$Q$47)/LOOKUP($A84,Barèmes!$A$65:$A$148,Barèmes!$G$65:$G$148))*(1-(INT($D$8)+1-$D$8)),0)))</f>
        <v>3076.3101627597985</v>
      </c>
      <c r="N84" s="121">
        <f>IF($A84&lt;$D$5+$D$4,(LOOKUP($A84,Cot_droits!$A$17:$A$68,Cot_droits!$I$17:$I$68)+LOOKUP($A84,Cot_droits!$A$17:$A$68,Cot_droits!$J$17:$J$68)+LOOKUP($A84,Cot_droits!$A$17:$A$68,Cot_droits!$N$17:$N$68))/LOOKUP($A84,Barèmes!$A$65:$A$148,Barèmes!$G$65:$G$148),0)</f>
        <v>0</v>
      </c>
      <c r="O84" s="115"/>
    </row>
    <row r="85" spans="1:15" s="43" customFormat="1" ht="15.75" customHeight="1" x14ac:dyDescent="0.25">
      <c r="A85" s="148">
        <f>TRI_prix!A79</f>
        <v>2084</v>
      </c>
      <c r="B85" s="121">
        <f>Cot_droits!C84/LOOKUP($A85,Barèmes!$A$65:$A$148,Barèmes!$G$65:$G$148)</f>
        <v>0</v>
      </c>
      <c r="C85" s="135"/>
      <c r="D85" s="131">
        <f ca="1">IF($A85&lt;$D$5+$D$4,0,IF(AND($A85&gt;=$D$5,$A85&lt;=INT($D$8)-1+$D$4),LOOKUP($A85,Retraite!$A$7:$A$47,Retraite!$K$7:$K$47)/LOOKUP($A85,Barèmes!$A$65:$A$148,Barèmes!$G$65:$G$148),IF($A85=INT($D$8+$D$4),(LOOKUP($A85,Retraite!$A$7:$A$47,Retraite!$K$7:$K$47)/LOOKUP($A85,Barèmes!$A$65:$A$148,Barèmes!$G$65:$G$148))*(1-(INT($D$8)+1-$D$8)),0)))</f>
        <v>14524.981598145801</v>
      </c>
      <c r="E85" s="151">
        <f ca="1">IF($A85&lt;$D$5+$D$4,0,IF(AND($A85&gt;=$D$5,$A85&lt;=INT($D$8)-1+$D$4),LOOKUP($A85,Retraite!$A$7:$A$47,Retraite!$N$7:$N$47)/LOOKUP($A85,Barèmes!$A$65:$A$148,Barèmes!$G$65:$G$148),IF($A85=INT($D$8+$D$4),(LOOKUP($A85,Retraite!$A$7:$A$47,Retraite!$N$7:$N$47)/LOOKUP($A85,Barèmes!$A$65:$A$148,Barèmes!$G$65:$G$148))*(1-(INT($D$8)+1-$D$8)),0)))</f>
        <v>13169.374137085939</v>
      </c>
      <c r="F85" s="121">
        <f>IF($A85&lt;$D$5+$D$4,LOOKUP($A85,Cot_droits!$A$17:$A$68,Cot_droits!$Q$17:$Q$68)/LOOKUP($A85,Barèmes!$A$65:$A$148,Barèmes!$G$65:$G$148),0)</f>
        <v>0</v>
      </c>
      <c r="G85" s="115"/>
      <c r="H85" s="131">
        <f>IF($A85&lt;$D$5+$D$4,0,IF(AND($A85&gt;=$D$5,$A85&lt;=INT($D$8)-1+$D$4),LOOKUP($A85,Retraite!$A$7:$A$47,Retraite!$L$7:$L$47)/LOOKUP($A85,Barèmes!$A$65:$A$148,Barèmes!$G$65:$G$148),IF($A85=INT($D$8+$D$4),(LOOKUP($A85,Retraite!$A$7:$A$47,Retraite!$L$7:$L$47)/LOOKUP($A85,Barèmes!$A$65:$A$148,Barèmes!$G$65:$G$148))*(1-(INT($D$8)+1-$D$8)),0)))</f>
        <v>11141.568035286236</v>
      </c>
      <c r="I85" s="151">
        <f ca="1">IF($A85&lt;$D$5+$D$4,0,IF(AND($A85&gt;=$D$5,$A85&lt;=INT($D$8)-1+$D$4),LOOKUP($A85,Retraite!$A$7:$A$47,Retraite!$P$7:$P$47)/LOOKUP($A85,Barèmes!$A$65:$A$148,Barèmes!$G$65:$G$148),IF($A85=INT($D$8+$D$4),(LOOKUP($A85,Retraite!$A$7:$A$47,Retraite!$P$7:$P$47)/LOOKUP($A85,Barèmes!$A$65:$A$148,Barèmes!$G$65:$G$148))*(1-(INT($D$8)+1-$D$8)),0)))</f>
        <v>10127.685344075189</v>
      </c>
      <c r="J85" s="121">
        <f>IF($A85&lt;$D$5+$D$4,(LOOKUP($A85,Cot_droits!$A$17:$A$68,Cot_droits!$H$17:$H$68)+LOOKUP($A85,Cot_droits!$A$17:$A$68,Cot_droits!$L$17:$L$68))/LOOKUP($A85,Barèmes!$A$65:$A$148,Barèmes!$G$65:$G$148),0)</f>
        <v>0</v>
      </c>
      <c r="L85" s="131">
        <f ca="1">IF($A85&lt;$D$5+$D$4,0,IF(AND($A85&gt;=$D$5,$A85&lt;=INT($D$8)-1+$D$4),LOOKUP($A85,Retraite!$A$7:$A$47,Retraite!$M$7:$M$47)/LOOKUP($A85,Barèmes!$A$65:$A$148,Barèmes!$G$65:$G$148),IF($A85=INT($D$8+$D$4),(LOOKUP($A85,Retraite!$A$7:$A$47,Retraite!$M$7:$M$47)/LOOKUP($A85,Barèmes!$A$65:$A$148,Barèmes!$G$65:$G$148))*(1-(INT($D$8)+1-$D$8)),0)))</f>
        <v>3383.4135628595654</v>
      </c>
      <c r="M85" s="151">
        <f ca="1">IF($A85&lt;$D$5+$D$4,0,IF(AND($A85&gt;=$D$5,$A85&lt;=INT($D$8)-1+$D$4),LOOKUP($A85,Retraite!$A$7:$A$47,Retraite!$Q$7:$Q$47)/LOOKUP($A85,Barèmes!$A$65:$A$148,Barèmes!$G$65:$G$148),IF($A85=INT($D$8+$D$4),(LOOKUP($A85,Retraite!$A$7:$A$47,Retraite!$Q$7:$Q$47)/LOOKUP($A85,Barèmes!$A$65:$A$148,Barèmes!$G$65:$G$148))*(1-(INT($D$8)+1-$D$8)),0)))</f>
        <v>3041.6887930107496</v>
      </c>
      <c r="N85" s="121">
        <f>IF($A85&lt;$D$5+$D$4,(LOOKUP($A85,Cot_droits!$A$17:$A$68,Cot_droits!$I$17:$I$68)+LOOKUP($A85,Cot_droits!$A$17:$A$68,Cot_droits!$J$17:$J$68)+LOOKUP($A85,Cot_droits!$A$17:$A$68,Cot_droits!$N$17:$N$68))/LOOKUP($A85,Barèmes!$A$65:$A$148,Barèmes!$G$65:$G$148),0)</f>
        <v>0</v>
      </c>
      <c r="O85" s="115"/>
    </row>
    <row r="86" spans="1:15" s="43" customFormat="1" ht="15.75" customHeight="1" x14ac:dyDescent="0.25">
      <c r="A86" s="148">
        <f>TRI_prix!A80</f>
        <v>2085</v>
      </c>
      <c r="B86" s="121">
        <f>Cot_droits!C85/LOOKUP($A86,Barèmes!$A$65:$A$148,Barèmes!$G$65:$G$148)</f>
        <v>0</v>
      </c>
      <c r="C86" s="135"/>
      <c r="D86" s="131">
        <f ca="1">IF($A86&lt;$D$5+$D$4,0,IF(AND($A86&gt;=$D$5,$A86&lt;=INT($D$8)-1+$D$4),LOOKUP($A86,Retraite!$A$7:$A$47,Retraite!$K$7:$K$47)/LOOKUP($A86,Barèmes!$A$65:$A$148,Barèmes!$G$65:$G$148),IF($A86=INT($D$8+$D$4),(LOOKUP($A86,Retraite!$A$7:$A$47,Retraite!$K$7:$K$47)/LOOKUP($A86,Barèmes!$A$65:$A$148,Barèmes!$G$65:$G$148))*(1-(INT($D$8)+1-$D$8)),0)))</f>
        <v>14343.922405957837</v>
      </c>
      <c r="E86" s="151">
        <f ca="1">IF($A86&lt;$D$5+$D$4,0,IF(AND($A86&gt;=$D$5,$A86&lt;=INT($D$8)-1+$D$4),LOOKUP($A86,Retraite!$A$7:$A$47,Retraite!$N$7:$N$47)/LOOKUP($A86,Barèmes!$A$65:$A$148,Barèmes!$G$65:$G$148),IF($A86=INT($D$8+$D$4),(LOOKUP($A86,Retraite!$A$7:$A$47,Retraite!$N$7:$N$47)/LOOKUP($A86,Barèmes!$A$65:$A$148,Barèmes!$G$65:$G$148))*(1-(INT($D$8)+1-$D$8)),0)))</f>
        <v>13005.172107075408</v>
      </c>
      <c r="F86" s="121">
        <f>IF($A86&lt;$D$5+$D$4,LOOKUP($A86,Cot_droits!$A$17:$A$68,Cot_droits!$Q$17:$Q$68)/LOOKUP($A86,Barèmes!$A$65:$A$148,Barèmes!$G$65:$G$148),0)</f>
        <v>0</v>
      </c>
      <c r="G86" s="115"/>
      <c r="H86" s="131">
        <f>IF($A86&lt;$D$5+$D$4,0,IF(AND($A86&gt;=$D$5,$A86&lt;=INT($D$8)-1+$D$4),LOOKUP($A86,Retraite!$A$7:$A$47,Retraite!$L$7:$L$47)/LOOKUP($A86,Barèmes!$A$65:$A$148,Barèmes!$G$65:$G$148),IF($A86=INT($D$8+$D$4),(LOOKUP($A86,Retraite!$A$7:$A$47,Retraite!$L$7:$L$47)/LOOKUP($A86,Barèmes!$A$65:$A$148,Barèmes!$G$65:$G$148))*(1-(INT($D$8)+1-$D$8)),0)))</f>
        <v>10998.586411931132</v>
      </c>
      <c r="I86" s="151">
        <f ca="1">IF($A86&lt;$D$5+$D$4,0,IF(AND($A86&gt;=$D$5,$A86&lt;=INT($D$8)-1+$D$4),LOOKUP($A86,Retraite!$A$7:$A$47,Retraite!$P$7:$P$47)/LOOKUP($A86,Barèmes!$A$65:$A$148,Barèmes!$G$65:$G$148),IF($A86=INT($D$8+$D$4),(LOOKUP($A86,Retraite!$A$7:$A$47,Retraite!$P$7:$P$47)/LOOKUP($A86,Barèmes!$A$65:$A$148,Barèmes!$G$65:$G$148))*(1-(INT($D$8)+1-$D$8)),0)))</f>
        <v>9997.7150484453996</v>
      </c>
      <c r="J86" s="121">
        <f>IF($A86&lt;$D$5+$D$4,(LOOKUP($A86,Cot_droits!$A$17:$A$68,Cot_droits!$H$17:$H$68)+LOOKUP($A86,Cot_droits!$A$17:$A$68,Cot_droits!$L$17:$L$68))/LOOKUP($A86,Barèmes!$A$65:$A$148,Barèmes!$G$65:$G$148),0)</f>
        <v>0</v>
      </c>
      <c r="L86" s="131">
        <f ca="1">IF($A86&lt;$D$5+$D$4,0,IF(AND($A86&gt;=$D$5,$A86&lt;=INT($D$8)-1+$D$4),LOOKUP($A86,Retraite!$A$7:$A$47,Retraite!$M$7:$M$47)/LOOKUP($A86,Barèmes!$A$65:$A$148,Barèmes!$G$65:$G$148),IF($A86=INT($D$8+$D$4),(LOOKUP($A86,Retraite!$A$7:$A$47,Retraite!$M$7:$M$47)/LOOKUP($A86,Barèmes!$A$65:$A$148,Barèmes!$G$65:$G$148))*(1-(INT($D$8)+1-$D$8)),0)))</f>
        <v>3345.335994026706</v>
      </c>
      <c r="M86" s="151">
        <f ca="1">IF($A86&lt;$D$5+$D$4,0,IF(AND($A86&gt;=$D$5,$A86&lt;=INT($D$8)-1+$D$4),LOOKUP($A86,Retraite!$A$7:$A$47,Retraite!$Q$7:$Q$47)/LOOKUP($A86,Barèmes!$A$65:$A$148,Barèmes!$G$65:$G$148),IF($A86=INT($D$8+$D$4),(LOOKUP($A86,Retraite!$A$7:$A$47,Retraite!$Q$7:$Q$47)/LOOKUP($A86,Barèmes!$A$65:$A$148,Barèmes!$G$65:$G$148))*(1-(INT($D$8)+1-$D$8)),0)))</f>
        <v>3007.4570586300088</v>
      </c>
      <c r="N86" s="121">
        <f>IF($A86&lt;$D$5+$D$4,(LOOKUP($A86,Cot_droits!$A$17:$A$68,Cot_droits!$I$17:$I$68)+LOOKUP($A86,Cot_droits!$A$17:$A$68,Cot_droits!$J$17:$J$68)+LOOKUP($A86,Cot_droits!$A$17:$A$68,Cot_droits!$N$17:$N$68))/LOOKUP($A86,Barèmes!$A$65:$A$148,Barèmes!$G$65:$G$148),0)</f>
        <v>0</v>
      </c>
      <c r="O86" s="115"/>
    </row>
    <row r="87" spans="1:15" s="43" customFormat="1" ht="15.75" customHeight="1" x14ac:dyDescent="0.25">
      <c r="A87" s="148">
        <f>TRI_prix!A81</f>
        <v>2086</v>
      </c>
      <c r="B87" s="121">
        <f>Cot_droits!C86/LOOKUP($A87,Barèmes!$A$65:$A$148,Barèmes!$G$65:$G$148)</f>
        <v>0</v>
      </c>
      <c r="C87" s="135"/>
      <c r="D87" s="131">
        <f ca="1">IF($A87&lt;$D$5+$D$4,0,IF(AND($A87&gt;=$D$5,$A87&lt;=INT($D$8)-1+$D$4),LOOKUP($A87,Retraite!$A$7:$A$47,Retraite!$K$7:$K$47)/LOOKUP($A87,Barèmes!$A$65:$A$148,Barèmes!$G$65:$G$148),IF($A87=INT($D$8+$D$4),(LOOKUP($A87,Retraite!$A$7:$A$47,Retraite!$K$7:$K$47)/LOOKUP($A87,Barèmes!$A$65:$A$148,Barèmes!$G$65:$G$148))*(1-(INT($D$8)+1-$D$8)),0)))</f>
        <v>14165.126653157482</v>
      </c>
      <c r="E87" s="151">
        <f ca="1">IF($A87&lt;$D$5+$D$4,0,IF(AND($A87&gt;=$D$5,$A87&lt;=INT($D$8)-1+$D$4),LOOKUP($A87,Retraite!$A$7:$A$47,Retraite!$N$7:$N$47)/LOOKUP($A87,Barèmes!$A$65:$A$148,Barèmes!$G$65:$G$148),IF($A87=INT($D$8+$D$4),(LOOKUP($A87,Retraite!$A$7:$A$47,Retraite!$N$7:$N$47)/LOOKUP($A87,Barèmes!$A$65:$A$148,Barèmes!$G$65:$G$148))*(1-(INT($D$8)+1-$D$8)),0)))</f>
        <v>12843.023258147425</v>
      </c>
      <c r="F87" s="121">
        <f>IF($A87&lt;$D$5+$D$4,LOOKUP($A87,Cot_droits!$A$17:$A$68,Cot_droits!$Q$17:$Q$68)/LOOKUP($A87,Barèmes!$A$65:$A$148,Barèmes!$G$65:$G$148),0)</f>
        <v>0</v>
      </c>
      <c r="G87" s="115"/>
      <c r="H87" s="131">
        <f>IF($A87&lt;$D$5+$D$4,0,IF(AND($A87&gt;=$D$5,$A87&lt;=INT($D$8)-1+$D$4),LOOKUP($A87,Retraite!$A$7:$A$47,Retraite!$L$7:$L$47)/LOOKUP($A87,Barèmes!$A$65:$A$148,Barèmes!$G$65:$G$148),IF($A87=INT($D$8+$D$4),(LOOKUP($A87,Retraite!$A$7:$A$47,Retraite!$L$7:$L$47)/LOOKUP($A87,Barèmes!$A$65:$A$148,Barèmes!$G$65:$G$148))*(1-(INT($D$8)+1-$D$8)),0)))</f>
        <v>10857.439695884632</v>
      </c>
      <c r="I87" s="151">
        <f ca="1">IF($A87&lt;$D$5+$D$4,0,IF(AND($A87&gt;=$D$5,$A87&lt;=INT($D$8)-1+$D$4),LOOKUP($A87,Retraite!$A$7:$A$47,Retraite!$P$7:$P$47)/LOOKUP($A87,Barèmes!$A$65:$A$148,Barèmes!$G$65:$G$148),IF($A87=INT($D$8+$D$4),(LOOKUP($A87,Retraite!$A$7:$A$47,Retraite!$P$7:$P$47)/LOOKUP($A87,Barèmes!$A$65:$A$148,Barèmes!$G$65:$G$148))*(1-(INT($D$8)+1-$D$8)),0)))</f>
        <v>9869.4126835591323</v>
      </c>
      <c r="J87" s="121">
        <f>IF($A87&lt;$D$5+$D$4,(LOOKUP($A87,Cot_droits!$A$17:$A$68,Cot_droits!$H$17:$H$68)+LOOKUP($A87,Cot_droits!$A$17:$A$68,Cot_droits!$L$17:$L$68))/LOOKUP($A87,Barèmes!$A$65:$A$148,Barèmes!$G$65:$G$148),0)</f>
        <v>0</v>
      </c>
      <c r="L87" s="131">
        <f ca="1">IF($A87&lt;$D$5+$D$4,0,IF(AND($A87&gt;=$D$5,$A87&lt;=INT($D$8)-1+$D$4),LOOKUP($A87,Retraite!$A$7:$A$47,Retraite!$M$7:$M$47)/LOOKUP($A87,Barèmes!$A$65:$A$148,Barèmes!$G$65:$G$148),IF($A87=INT($D$8+$D$4),(LOOKUP($A87,Retraite!$A$7:$A$47,Retraite!$M$7:$M$47)/LOOKUP($A87,Barèmes!$A$65:$A$148,Barèmes!$G$65:$G$148))*(1-(INT($D$8)+1-$D$8)),0)))</f>
        <v>3307.6869572728501</v>
      </c>
      <c r="M87" s="151">
        <f ca="1">IF($A87&lt;$D$5+$D$4,0,IF(AND($A87&gt;=$D$5,$A87&lt;=INT($D$8)-1+$D$4),LOOKUP($A87,Retraite!$A$7:$A$47,Retraite!$Q$7:$Q$47)/LOOKUP($A87,Barèmes!$A$65:$A$148,Barèmes!$G$65:$G$148),IF($A87=INT($D$8+$D$4),(LOOKUP($A87,Retraite!$A$7:$A$47,Retraite!$Q$7:$Q$47)/LOOKUP($A87,Barèmes!$A$65:$A$148,Barèmes!$G$65:$G$148))*(1-(INT($D$8)+1-$D$8)),0)))</f>
        <v>2973.6105745882924</v>
      </c>
      <c r="N87" s="121">
        <f>IF($A87&lt;$D$5+$D$4,(LOOKUP($A87,Cot_droits!$A$17:$A$68,Cot_droits!$I$17:$I$68)+LOOKUP($A87,Cot_droits!$A$17:$A$68,Cot_droits!$J$17:$J$68)+LOOKUP($A87,Cot_droits!$A$17:$A$68,Cot_droits!$N$17:$N$68))/LOOKUP($A87,Barèmes!$A$65:$A$148,Barèmes!$G$65:$G$148),0)</f>
        <v>0</v>
      </c>
      <c r="O87" s="115"/>
    </row>
    <row r="88" spans="1:15" s="43" customFormat="1" ht="15.75" customHeight="1" x14ac:dyDescent="0.25">
      <c r="A88" s="148">
        <f>TRI_prix!A82</f>
        <v>2087</v>
      </c>
      <c r="B88" s="121">
        <f>Cot_droits!C87/LOOKUP($A88,Barèmes!$A$65:$A$148,Barèmes!$G$65:$G$148)</f>
        <v>0</v>
      </c>
      <c r="C88" s="135"/>
      <c r="D88" s="131">
        <f ca="1">IF($A88&lt;$D$5+$D$4,0,IF(AND($A88&gt;=$D$5,$A88&lt;=INT($D$8)-1+$D$4),LOOKUP($A88,Retraite!$A$7:$A$47,Retraite!$K$7:$K$47)/LOOKUP($A88,Barèmes!$A$65:$A$148,Barèmes!$G$65:$G$148),IF($A88=INT($D$8+$D$4),(LOOKUP($A88,Retraite!$A$7:$A$47,Retraite!$K$7:$K$47)/LOOKUP($A88,Barèmes!$A$65:$A$148,Barèmes!$G$65:$G$148))*(1-(INT($D$8)+1-$D$8)),0)))</f>
        <v>13988.565969289359</v>
      </c>
      <c r="E88" s="151">
        <f ca="1">IF($A88&lt;$D$5+$D$4,0,IF(AND($A88&gt;=$D$5,$A88&lt;=INT($D$8)-1+$D$4),LOOKUP($A88,Retraite!$A$7:$A$47,Retraite!$N$7:$N$47)/LOOKUP($A88,Barèmes!$A$65:$A$148,Barèmes!$G$65:$G$148),IF($A88=INT($D$8+$D$4),(LOOKUP($A88,Retraite!$A$7:$A$47,Retraite!$N$7:$N$47)/LOOKUP($A88,Barèmes!$A$65:$A$148,Barèmes!$G$65:$G$148))*(1-(INT($D$8)+1-$D$8)),0)))</f>
        <v>12682.901849785849</v>
      </c>
      <c r="F88" s="121">
        <f>IF($A88&lt;$D$5+$D$4,LOOKUP($A88,Cot_droits!$A$17:$A$68,Cot_droits!$Q$17:$Q$68)/LOOKUP($A88,Barèmes!$A$65:$A$148,Barèmes!$G$65:$G$148),0)</f>
        <v>0</v>
      </c>
      <c r="G88" s="115"/>
      <c r="H88" s="131">
        <f>IF($A88&lt;$D$5+$D$4,0,IF(AND($A88&gt;=$D$5,$A88&lt;=INT($D$8)-1+$D$4),LOOKUP($A88,Retraite!$A$7:$A$47,Retraite!$L$7:$L$47)/LOOKUP($A88,Barèmes!$A$65:$A$148,Barèmes!$G$65:$G$148),IF($A88=INT($D$8+$D$4),(LOOKUP($A88,Retraite!$A$7:$A$47,Retraite!$L$7:$L$47)/LOOKUP($A88,Barèmes!$A$65:$A$148,Barèmes!$G$65:$G$148))*(1-(INT($D$8)+1-$D$8)),0)))</f>
        <v>10718.104339471502</v>
      </c>
      <c r="I88" s="151">
        <f ca="1">IF($A88&lt;$D$5+$D$4,0,IF(AND($A88&gt;=$D$5,$A88&lt;=INT($D$8)-1+$D$4),LOOKUP($A88,Retraite!$A$7:$A$47,Retraite!$P$7:$P$47)/LOOKUP($A88,Barèmes!$A$65:$A$148,Barèmes!$G$65:$G$148),IF($A88=INT($D$8+$D$4),(LOOKUP($A88,Retraite!$A$7:$A$47,Retraite!$P$7:$P$47)/LOOKUP($A88,Barèmes!$A$65:$A$148,Barèmes!$G$65:$G$148))*(1-(INT($D$8)+1-$D$8)),0)))</f>
        <v>9742.7568445795951</v>
      </c>
      <c r="J88" s="121">
        <f>IF($A88&lt;$D$5+$D$4,(LOOKUP($A88,Cot_droits!$A$17:$A$68,Cot_droits!$H$17:$H$68)+LOOKUP($A88,Cot_droits!$A$17:$A$68,Cot_droits!$L$17:$L$68))/LOOKUP($A88,Barèmes!$A$65:$A$148,Barèmes!$G$65:$G$148),0)</f>
        <v>0</v>
      </c>
      <c r="L88" s="131">
        <f ca="1">IF($A88&lt;$D$5+$D$4,0,IF(AND($A88&gt;=$D$5,$A88&lt;=INT($D$8)-1+$D$4),LOOKUP($A88,Retraite!$A$7:$A$47,Retraite!$M$7:$M$47)/LOOKUP($A88,Barèmes!$A$65:$A$148,Barèmes!$G$65:$G$148),IF($A88=INT($D$8+$D$4),(LOOKUP($A88,Retraite!$A$7:$A$47,Retraite!$M$7:$M$47)/LOOKUP($A88,Barèmes!$A$65:$A$148,Barèmes!$G$65:$G$148))*(1-(INT($D$8)+1-$D$8)),0)))</f>
        <v>3270.4616298178576</v>
      </c>
      <c r="M88" s="151">
        <f ca="1">IF($A88&lt;$D$5+$D$4,0,IF(AND($A88&gt;=$D$5,$A88&lt;=INT($D$8)-1+$D$4),LOOKUP($A88,Retraite!$A$7:$A$47,Retraite!$Q$7:$Q$47)/LOOKUP($A88,Barèmes!$A$65:$A$148,Barèmes!$G$65:$G$148),IF($A88=INT($D$8+$D$4),(LOOKUP($A88,Retraite!$A$7:$A$47,Retraite!$Q$7:$Q$47)/LOOKUP($A88,Barèmes!$A$65:$A$148,Barèmes!$G$65:$G$148))*(1-(INT($D$8)+1-$D$8)),0)))</f>
        <v>2940.1450052062542</v>
      </c>
      <c r="N88" s="121">
        <f>IF($A88&lt;$D$5+$D$4,(LOOKUP($A88,Cot_droits!$A$17:$A$68,Cot_droits!$I$17:$I$68)+LOOKUP($A88,Cot_droits!$A$17:$A$68,Cot_droits!$J$17:$J$68)+LOOKUP($A88,Cot_droits!$A$17:$A$68,Cot_droits!$N$17:$N$68))/LOOKUP($A88,Barèmes!$A$65:$A$148,Barèmes!$G$65:$G$148),0)</f>
        <v>0</v>
      </c>
      <c r="O88" s="115"/>
    </row>
    <row r="89" spans="1:15" s="43" customFormat="1" ht="15.75" customHeight="1" x14ac:dyDescent="0.25">
      <c r="A89" s="148">
        <f>TRI_prix!A83</f>
        <v>2088</v>
      </c>
      <c r="B89" s="121">
        <f>Cot_droits!C88/LOOKUP($A89,Barèmes!$A$65:$A$148,Barèmes!$G$65:$G$148)</f>
        <v>0</v>
      </c>
      <c r="C89" s="135"/>
      <c r="D89" s="131">
        <f ca="1">IF($A89&lt;$D$5+$D$4,0,IF(AND($A89&gt;=$D$5,$A89&lt;=INT($D$8)-1+$D$4),LOOKUP($A89,Retraite!$A$7:$A$47,Retraite!$K$7:$K$47)/LOOKUP($A89,Barèmes!$A$65:$A$148,Barèmes!$G$65:$G$148),IF($A89=INT($D$8+$D$4),(LOOKUP($A89,Retraite!$A$7:$A$47,Retraite!$K$7:$K$47)/LOOKUP($A89,Barèmes!$A$65:$A$148,Barèmes!$G$65:$G$148))*(1-(INT($D$8)+1-$D$8)),0)))</f>
        <v>13814.212340365861</v>
      </c>
      <c r="E89" s="151">
        <f ca="1">IF($A89&lt;$D$5+$D$4,0,IF(AND($A89&gt;=$D$5,$A89&lt;=INT($D$8)-1+$D$4),LOOKUP($A89,Retraite!$A$7:$A$47,Retraite!$N$7:$N$47)/LOOKUP($A89,Barèmes!$A$65:$A$148,Barèmes!$G$65:$G$148),IF($A89=INT($D$8+$D$4),(LOOKUP($A89,Retraite!$A$7:$A$47,Retraite!$N$7:$N$47)/LOOKUP($A89,Barèmes!$A$65:$A$148,Barèmes!$G$65:$G$148))*(1-(INT($D$8)+1-$D$8)),0)))</f>
        <v>12524.782464960987</v>
      </c>
      <c r="F89" s="121">
        <f>IF($A89&lt;$D$5+$D$4,LOOKUP($A89,Cot_droits!$A$17:$A$68,Cot_droits!$Q$17:$Q$68)/LOOKUP($A89,Barèmes!$A$65:$A$148,Barèmes!$G$65:$G$148),0)</f>
        <v>0</v>
      </c>
      <c r="G89" s="115"/>
      <c r="H89" s="131">
        <f>IF($A89&lt;$D$5+$D$4,0,IF(AND($A89&gt;=$D$5,$A89&lt;=INT($D$8)-1+$D$4),LOOKUP($A89,Retraite!$A$7:$A$47,Retraite!$L$7:$L$47)/LOOKUP($A89,Barèmes!$A$65:$A$148,Barèmes!$G$65:$G$148),IF($A89=INT($D$8+$D$4),(LOOKUP($A89,Retraite!$A$7:$A$47,Retraite!$L$7:$L$47)/LOOKUP($A89,Barèmes!$A$65:$A$148,Barèmes!$G$65:$G$148))*(1-(INT($D$8)+1-$D$8)),0)))</f>
        <v>10580.557097207802</v>
      </c>
      <c r="I89" s="151">
        <f ca="1">IF($A89&lt;$D$5+$D$4,0,IF(AND($A89&gt;=$D$5,$A89&lt;=INT($D$8)-1+$D$4),LOOKUP($A89,Retraite!$A$7:$A$47,Retraite!$P$7:$P$47)/LOOKUP($A89,Barèmes!$A$65:$A$148,Barèmes!$G$65:$G$148),IF($A89=INT($D$8+$D$4),(LOOKUP($A89,Retraite!$A$7:$A$47,Retraite!$P$7:$P$47)/LOOKUP($A89,Barèmes!$A$65:$A$148,Barèmes!$G$65:$G$148))*(1-(INT($D$8)+1-$D$8)),0)))</f>
        <v>9617.7264013618915</v>
      </c>
      <c r="J89" s="121">
        <f>IF($A89&lt;$D$5+$D$4,(LOOKUP($A89,Cot_droits!$A$17:$A$68,Cot_droits!$H$17:$H$68)+LOOKUP($A89,Cot_droits!$A$17:$A$68,Cot_droits!$L$17:$L$68))/LOOKUP($A89,Barèmes!$A$65:$A$148,Barèmes!$G$65:$G$148),0)</f>
        <v>0</v>
      </c>
      <c r="L89" s="131">
        <f ca="1">IF($A89&lt;$D$5+$D$4,0,IF(AND($A89&gt;=$D$5,$A89&lt;=INT($D$8)-1+$D$4),LOOKUP($A89,Retraite!$A$7:$A$47,Retraite!$M$7:$M$47)/LOOKUP($A89,Barèmes!$A$65:$A$148,Barèmes!$G$65:$G$148),IF($A89=INT($D$8+$D$4),(LOOKUP($A89,Retraite!$A$7:$A$47,Retraite!$M$7:$M$47)/LOOKUP($A89,Barèmes!$A$65:$A$148,Barèmes!$G$65:$G$148))*(1-(INT($D$8)+1-$D$8)),0)))</f>
        <v>3233.6552431580594</v>
      </c>
      <c r="M89" s="151">
        <f ca="1">IF($A89&lt;$D$5+$D$4,0,IF(AND($A89&gt;=$D$5,$A89&lt;=INT($D$8)-1+$D$4),LOOKUP($A89,Retraite!$A$7:$A$47,Retraite!$Q$7:$Q$47)/LOOKUP($A89,Barèmes!$A$65:$A$148,Barèmes!$G$65:$G$148),IF($A89=INT($D$8+$D$4),(LOOKUP($A89,Retraite!$A$7:$A$47,Retraite!$Q$7:$Q$47)/LOOKUP($A89,Barèmes!$A$65:$A$148,Barèmes!$G$65:$G$148))*(1-(INT($D$8)+1-$D$8)),0)))</f>
        <v>2907.0560635990955</v>
      </c>
      <c r="N89" s="121">
        <f>IF($A89&lt;$D$5+$D$4,(LOOKUP($A89,Cot_droits!$A$17:$A$68,Cot_droits!$I$17:$I$68)+LOOKUP($A89,Cot_droits!$A$17:$A$68,Cot_droits!$J$17:$J$68)+LOOKUP($A89,Cot_droits!$A$17:$A$68,Cot_droits!$N$17:$N$68))/LOOKUP($A89,Barèmes!$A$65:$A$148,Barèmes!$G$65:$G$148),0)</f>
        <v>0</v>
      </c>
      <c r="O89" s="115"/>
    </row>
    <row r="90" spans="1:15" s="43" customFormat="1" ht="15.75" customHeight="1" x14ac:dyDescent="0.25">
      <c r="A90" s="148">
        <f>TRI_prix!A84</f>
        <v>2089</v>
      </c>
      <c r="B90" s="121">
        <f>Cot_droits!C89/LOOKUP($A90,Barèmes!$A$65:$A$148,Barèmes!$G$65:$G$148)</f>
        <v>0</v>
      </c>
      <c r="C90" s="135"/>
      <c r="D90" s="131">
        <f ca="1">IF($A90&lt;$D$5+$D$4,0,IF(AND($A90&gt;=$D$5,$A90&lt;=INT($D$8)-1+$D$4),LOOKUP($A90,Retraite!$A$7:$A$47,Retraite!$K$7:$K$47)/LOOKUP($A90,Barèmes!$A$65:$A$148,Barèmes!$G$65:$G$148),IF($A90=INT($D$8+$D$4),(LOOKUP($A90,Retraite!$A$7:$A$47,Retraite!$K$7:$K$47)/LOOKUP($A90,Barèmes!$A$65:$A$148,Barèmes!$G$65:$G$148))*(1-(INT($D$8)+1-$D$8)),0)))</f>
        <v>13642.038104378222</v>
      </c>
      <c r="E90" s="151">
        <f ca="1">IF($A90&lt;$D$5+$D$4,0,IF(AND($A90&gt;=$D$5,$A90&lt;=INT($D$8)-1+$D$4),LOOKUP($A90,Retraite!$A$7:$A$47,Retraite!$N$7:$N$47)/LOOKUP($A90,Barèmes!$A$65:$A$148,Barèmes!$G$65:$G$148),IF($A90=INT($D$8+$D$4),(LOOKUP($A90,Retraite!$A$7:$A$47,Retraite!$N$7:$N$47)/LOOKUP($A90,Barèmes!$A$65:$A$148,Barèmes!$G$65:$G$148))*(1-(INT($D$8)+1-$D$8)),0)))</f>
        <v>12368.640006055251</v>
      </c>
      <c r="F90" s="121">
        <f>IF($A90&lt;$D$5+$D$4,LOOKUP($A90,Cot_droits!$A$17:$A$68,Cot_droits!$Q$17:$Q$68)/LOOKUP($A90,Barèmes!$A$65:$A$148,Barèmes!$G$65:$G$148),0)</f>
        <v>0</v>
      </c>
      <c r="G90" s="115"/>
      <c r="H90" s="131">
        <f>IF($A90&lt;$D$5+$D$4,0,IF(AND($A90&gt;=$D$5,$A90&lt;=INT($D$8)-1+$D$4),LOOKUP($A90,Retraite!$A$7:$A$47,Retraite!$L$7:$L$47)/LOOKUP($A90,Barèmes!$A$65:$A$148,Barèmes!$G$65:$G$148),IF($A90=INT($D$8+$D$4),(LOOKUP($A90,Retraite!$A$7:$A$47,Retraite!$L$7:$L$47)/LOOKUP($A90,Barèmes!$A$65:$A$148,Barèmes!$G$65:$G$148))*(1-(INT($D$8)+1-$D$8)),0)))</f>
        <v>10444.775021922807</v>
      </c>
      <c r="I90" s="151">
        <f ca="1">IF($A90&lt;$D$5+$D$4,0,IF(AND($A90&gt;=$D$5,$A90&lt;=INT($D$8)-1+$D$4),LOOKUP($A90,Retraite!$A$7:$A$47,Retraite!$P$7:$P$47)/LOOKUP($A90,Barèmes!$A$65:$A$148,Barèmes!$G$65:$G$148),IF($A90=INT($D$8+$D$4),(LOOKUP($A90,Retraite!$A$7:$A$47,Retraite!$P$7:$P$47)/LOOKUP($A90,Barèmes!$A$65:$A$148,Barèmes!$G$65:$G$148))*(1-(INT($D$8)+1-$D$8)),0)))</f>
        <v>9494.3004949278329</v>
      </c>
      <c r="J90" s="121">
        <f>IF($A90&lt;$D$5+$D$4,(LOOKUP($A90,Cot_droits!$A$17:$A$68,Cot_droits!$H$17:$H$68)+LOOKUP($A90,Cot_droits!$A$17:$A$68,Cot_droits!$L$17:$L$68))/LOOKUP($A90,Barèmes!$A$65:$A$148,Barèmes!$G$65:$G$148),0)</f>
        <v>0</v>
      </c>
      <c r="L90" s="131">
        <f ca="1">IF($A90&lt;$D$5+$D$4,0,IF(AND($A90&gt;=$D$5,$A90&lt;=INT($D$8)-1+$D$4),LOOKUP($A90,Retraite!$A$7:$A$47,Retraite!$M$7:$M$47)/LOOKUP($A90,Barèmes!$A$65:$A$148,Barèmes!$G$65:$G$148),IF($A90=INT($D$8+$D$4),(LOOKUP($A90,Retraite!$A$7:$A$47,Retraite!$M$7:$M$47)/LOOKUP($A90,Barèmes!$A$65:$A$148,Barèmes!$G$65:$G$148))*(1-(INT($D$8)+1-$D$8)),0)))</f>
        <v>3197.2630824554162</v>
      </c>
      <c r="M90" s="151">
        <f ca="1">IF($A90&lt;$D$5+$D$4,0,IF(AND($A90&gt;=$D$5,$A90&lt;=INT($D$8)-1+$D$4),LOOKUP($A90,Retraite!$A$7:$A$47,Retraite!$Q$7:$Q$47)/LOOKUP($A90,Barèmes!$A$65:$A$148,Barèmes!$G$65:$G$148),IF($A90=INT($D$8+$D$4),(LOOKUP($A90,Retraite!$A$7:$A$47,Retraite!$Q$7:$Q$47)/LOOKUP($A90,Barèmes!$A$65:$A$148,Barèmes!$G$65:$G$148))*(1-(INT($D$8)+1-$D$8)),0)))</f>
        <v>2874.339511127419</v>
      </c>
      <c r="N90" s="121">
        <f>IF($A90&lt;$D$5+$D$4,(LOOKUP($A90,Cot_droits!$A$17:$A$68,Cot_droits!$I$17:$I$68)+LOOKUP($A90,Cot_droits!$A$17:$A$68,Cot_droits!$J$17:$J$68)+LOOKUP($A90,Cot_droits!$A$17:$A$68,Cot_droits!$N$17:$N$68))/LOOKUP($A90,Barèmes!$A$65:$A$148,Barèmes!$G$65:$G$148),0)</f>
        <v>0</v>
      </c>
      <c r="O90" s="115"/>
    </row>
    <row r="91" spans="1:15" s="43" customFormat="1" ht="15.75" customHeight="1" x14ac:dyDescent="0.25">
      <c r="A91" s="148">
        <f>TRI_prix!A85</f>
        <v>2090</v>
      </c>
      <c r="B91" s="121">
        <f>Cot_droits!C90/LOOKUP($A91,Barèmes!$A$65:$A$148,Barèmes!$G$65:$G$148)</f>
        <v>0</v>
      </c>
      <c r="C91" s="135"/>
      <c r="D91" s="131">
        <f ca="1">IF($A91&lt;$D$5+$D$4,0,IF(AND($A91&gt;=$D$5,$A91&lt;=INT($D$8)-1+$D$4),LOOKUP($A91,Retraite!$A$7:$A$47,Retraite!$K$7:$K$47)/LOOKUP($A91,Barèmes!$A$65:$A$148,Barèmes!$G$65:$G$148),IF($A91=INT($D$8+$D$4),(LOOKUP($A91,Retraite!$A$7:$A$47,Retraite!$K$7:$K$47)/LOOKUP($A91,Barèmes!$A$65:$A$148,Barèmes!$G$65:$G$148))*(1-(INT($D$8)+1-$D$8)),0)))</f>
        <v>13472.015946864267</v>
      </c>
      <c r="E91" s="151">
        <f ca="1">IF($A91&lt;$D$5+$D$4,0,IF(AND($A91&gt;=$D$5,$A91&lt;=INT($D$8)-1+$D$4),LOOKUP($A91,Retraite!$A$7:$A$47,Retraite!$N$7:$N$47)/LOOKUP($A91,Barèmes!$A$65:$A$148,Barèmes!$G$65:$G$148),IF($A91=INT($D$8+$D$4),(LOOKUP($A91,Retraite!$A$7:$A$47,Retraite!$N$7:$N$47)/LOOKUP($A91,Barèmes!$A$65:$A$148,Barèmes!$G$65:$G$148))*(1-(INT($D$8)+1-$D$8)),0)))</f>
        <v>12214.449690840285</v>
      </c>
      <c r="F91" s="121">
        <f>IF($A91&lt;$D$5+$D$4,LOOKUP($A91,Cot_droits!$A$17:$A$68,Cot_droits!$Q$17:$Q$68)/LOOKUP($A91,Barèmes!$A$65:$A$148,Barèmes!$G$65:$G$148),0)</f>
        <v>0</v>
      </c>
      <c r="G91" s="115"/>
      <c r="H91" s="131">
        <f>IF($A91&lt;$D$5+$D$4,0,IF(AND($A91&gt;=$D$5,$A91&lt;=INT($D$8)-1+$D$4),LOOKUP($A91,Retraite!$A$7:$A$47,Retraite!$L$7:$L$47)/LOOKUP($A91,Barèmes!$A$65:$A$148,Barèmes!$G$65:$G$148),IF($A91=INT($D$8+$D$4),(LOOKUP($A91,Retraite!$A$7:$A$47,Retraite!$L$7:$L$47)/LOOKUP($A91,Barèmes!$A$65:$A$148,Barèmes!$G$65:$G$148))*(1-(INT($D$8)+1-$D$8)),0)))</f>
        <v>10310.735460930709</v>
      </c>
      <c r="I91" s="151">
        <f ca="1">IF($A91&lt;$D$5+$D$4,0,IF(AND($A91&gt;=$D$5,$A91&lt;=INT($D$8)-1+$D$4),LOOKUP($A91,Retraite!$A$7:$A$47,Retraite!$P$7:$P$47)/LOOKUP($A91,Barèmes!$A$65:$A$148,Barèmes!$G$65:$G$148),IF($A91=INT($D$8+$D$4),(LOOKUP($A91,Retraite!$A$7:$A$47,Retraite!$P$7:$P$47)/LOOKUP($A91,Barèmes!$A$65:$A$148,Barèmes!$G$65:$G$148))*(1-(INT($D$8)+1-$D$8)),0)))</f>
        <v>9372.458533986015</v>
      </c>
      <c r="J91" s="121">
        <f>IF($A91&lt;$D$5+$D$4,(LOOKUP($A91,Cot_droits!$A$17:$A$68,Cot_droits!$H$17:$H$68)+LOOKUP($A91,Cot_droits!$A$17:$A$68,Cot_droits!$L$17:$L$68))/LOOKUP($A91,Barèmes!$A$65:$A$148,Barèmes!$G$65:$G$148),0)</f>
        <v>0</v>
      </c>
      <c r="L91" s="131">
        <f ca="1">IF($A91&lt;$D$5+$D$4,0,IF(AND($A91&gt;=$D$5,$A91&lt;=INT($D$8)-1+$D$4),LOOKUP($A91,Retraite!$A$7:$A$47,Retraite!$M$7:$M$47)/LOOKUP($A91,Barèmes!$A$65:$A$148,Barèmes!$G$65:$G$148),IF($A91=INT($D$8+$D$4),(LOOKUP($A91,Retraite!$A$7:$A$47,Retraite!$M$7:$M$47)/LOOKUP($A91,Barèmes!$A$65:$A$148,Barèmes!$G$65:$G$148))*(1-(INT($D$8)+1-$D$8)),0)))</f>
        <v>3161.2804859335588</v>
      </c>
      <c r="M91" s="151">
        <f ca="1">IF($A91&lt;$D$5+$D$4,0,IF(AND($A91&gt;=$D$5,$A91&lt;=INT($D$8)-1+$D$4),LOOKUP($A91,Retraite!$A$7:$A$47,Retraite!$Q$7:$Q$47)/LOOKUP($A91,Barèmes!$A$65:$A$148,Barèmes!$G$65:$G$148),IF($A91=INT($D$8+$D$4),(LOOKUP($A91,Retraite!$A$7:$A$47,Retraite!$Q$7:$Q$47)/LOOKUP($A91,Barèmes!$A$65:$A$148,Barèmes!$G$65:$G$148))*(1-(INT($D$8)+1-$D$8)),0)))</f>
        <v>2841.9911568542693</v>
      </c>
      <c r="N91" s="121">
        <f>IF($A91&lt;$D$5+$D$4,(LOOKUP($A91,Cot_droits!$A$17:$A$68,Cot_droits!$I$17:$I$68)+LOOKUP($A91,Cot_droits!$A$17:$A$68,Cot_droits!$J$17:$J$68)+LOOKUP($A91,Cot_droits!$A$17:$A$68,Cot_droits!$N$17:$N$68))/LOOKUP($A91,Barèmes!$A$65:$A$148,Barèmes!$G$65:$G$148),0)</f>
        <v>0</v>
      </c>
      <c r="O91" s="115"/>
    </row>
    <row r="92" spans="1:15" s="43" customFormat="1" ht="15.75" customHeight="1" x14ac:dyDescent="0.25">
      <c r="A92" s="148">
        <f>TRI_prix!A86</f>
        <v>2091</v>
      </c>
      <c r="B92" s="121">
        <f>Cot_droits!C91/LOOKUP($A92,Barèmes!$A$65:$A$148,Barèmes!$G$65:$G$148)</f>
        <v>0</v>
      </c>
      <c r="C92" s="135"/>
      <c r="D92" s="131">
        <f ca="1">IF($A92&lt;$D$5+$D$4,0,IF(AND($A92&gt;=$D$5,$A92&lt;=INT($D$8)-1+$D$4),LOOKUP($A92,Retraite!$A$7:$A$47,Retraite!$K$7:$K$47)/LOOKUP($A92,Barèmes!$A$65:$A$148,Barèmes!$G$65:$G$148),IF($A92=INT($D$8+$D$4),(LOOKUP($A92,Retraite!$A$7:$A$47,Retraite!$K$7:$K$47)/LOOKUP($A92,Barèmes!$A$65:$A$148,Barèmes!$G$65:$G$148))*(1-(INT($D$8)+1-$D$8)),0)))</f>
        <v>709.01735805530086</v>
      </c>
      <c r="E92" s="151">
        <f ca="1">IF($A92&lt;$D$5+$D$4,0,IF(AND($A92&gt;=$D$5,$A92&lt;=INT($D$8)-1+$D$4),LOOKUP($A92,Retraite!$A$7:$A$47,Retraite!$N$7:$N$47)/LOOKUP($A92,Barèmes!$A$65:$A$148,Barèmes!$G$65:$G$148),IF($A92=INT($D$8+$D$4),(LOOKUP($A92,Retraite!$A$7:$A$47,Retraite!$N$7:$N$47)/LOOKUP($A92,Barèmes!$A$65:$A$148,Barèmes!$G$65:$G$148))*(1-(INT($D$8)+1-$D$8)),0)))</f>
        <v>642.83099542421155</v>
      </c>
      <c r="F92" s="121">
        <f>IF($A92&lt;$D$5+$D$4,LOOKUP($A92,Cot_droits!$A$17:$A$68,Cot_droits!$Q$17:$Q$68)/LOOKUP($A92,Barèmes!$A$65:$A$148,Barèmes!$G$65:$G$148),0)</f>
        <v>0</v>
      </c>
      <c r="G92" s="115"/>
      <c r="H92" s="131">
        <f>IF($A92&lt;$D$5+$D$4,0,IF(AND($A92&gt;=$D$5,$A92&lt;=INT($D$8)-1+$D$4),LOOKUP($A92,Retraite!$A$7:$A$47,Retraite!$L$7:$L$47)/LOOKUP($A92,Barèmes!$A$65:$A$148,Barèmes!$G$65:$G$148),IF($A92=INT($D$8+$D$4),(LOOKUP($A92,Retraite!$A$7:$A$47,Retraite!$L$7:$L$47)/LOOKUP($A92,Barèmes!$A$65:$A$148,Barèmes!$G$65:$G$148))*(1-(INT($D$8)+1-$D$8)),0)))</f>
        <v>542.43905324960133</v>
      </c>
      <c r="I92" s="151">
        <f ca="1">IF($A92&lt;$D$5+$D$4,0,IF(AND($A92&gt;=$D$5,$A92&lt;=INT($D$8)-1+$D$4),LOOKUP($A92,Retraite!$A$7:$A$47,Retraite!$P$7:$P$47)/LOOKUP($A92,Barèmes!$A$65:$A$148,Barèmes!$G$65:$G$148),IF($A92=INT($D$8+$D$4),(LOOKUP($A92,Retraite!$A$7:$A$47,Retraite!$P$7:$P$47)/LOOKUP($A92,Barèmes!$A$65:$A$148,Barèmes!$G$65:$G$148))*(1-(INT($D$8)+1-$D$8)),0)))</f>
        <v>493.07709940388759</v>
      </c>
      <c r="J92" s="121">
        <f>IF($A92&lt;$D$5+$D$4,(LOOKUP($A92,Cot_droits!$A$17:$A$68,Cot_droits!$H$17:$H$68)+LOOKUP($A92,Cot_droits!$A$17:$A$68,Cot_droits!$L$17:$L$68))/LOOKUP($A92,Barèmes!$A$65:$A$148,Barèmes!$G$65:$G$148),0)</f>
        <v>0</v>
      </c>
      <c r="L92" s="131">
        <f ca="1">IF($A92&lt;$D$5+$D$4,0,IF(AND($A92&gt;=$D$5,$A92&lt;=INT($D$8)-1+$D$4),LOOKUP($A92,Retraite!$A$7:$A$47,Retraite!$M$7:$M$47)/LOOKUP($A92,Barèmes!$A$65:$A$148,Barèmes!$G$65:$G$148),IF($A92=INT($D$8+$D$4),(LOOKUP($A92,Retraite!$A$7:$A$47,Retraite!$M$7:$M$47)/LOOKUP($A92,Barèmes!$A$65:$A$148,Barèmes!$G$65:$G$148))*(1-(INT($D$8)+1-$D$8)),0)))</f>
        <v>166.57830480569959</v>
      </c>
      <c r="M92" s="151">
        <f ca="1">IF($A92&lt;$D$5+$D$4,0,IF(AND($A92&gt;=$D$5,$A92&lt;=INT($D$8)-1+$D$4),LOOKUP($A92,Retraite!$A$7:$A$47,Retraite!$Q$7:$Q$47)/LOOKUP($A92,Barèmes!$A$65:$A$148,Barèmes!$G$65:$G$148),IF($A92=INT($D$8+$D$4),(LOOKUP($A92,Retraite!$A$7:$A$47,Retraite!$Q$7:$Q$47)/LOOKUP($A92,Barèmes!$A$65:$A$148,Barèmes!$G$65:$G$148))*(1-(INT($D$8)+1-$D$8)),0)))</f>
        <v>149.75389602032394</v>
      </c>
      <c r="N92" s="121">
        <f>IF($A92&lt;$D$5+$D$4,(LOOKUP($A92,Cot_droits!$A$17:$A$68,Cot_droits!$I$17:$I$68)+LOOKUP($A92,Cot_droits!$A$17:$A$68,Cot_droits!$J$17:$J$68)+LOOKUP($A92,Cot_droits!$A$17:$A$68,Cot_droits!$N$17:$N$68))/LOOKUP($A92,Barèmes!$A$65:$A$148,Barèmes!$G$65:$G$148),0)</f>
        <v>0</v>
      </c>
      <c r="O92" s="115"/>
    </row>
    <row r="93" spans="1:15" s="43" customFormat="1" ht="15.75" customHeight="1" x14ac:dyDescent="0.25">
      <c r="A93" s="148">
        <f>TRI_prix!A87</f>
        <v>2092</v>
      </c>
      <c r="B93" s="121">
        <f>Cot_droits!C92/LOOKUP($A93,Barèmes!$A$65:$A$148,Barèmes!$G$65:$G$148)</f>
        <v>0</v>
      </c>
      <c r="C93" s="135"/>
      <c r="D93" s="131">
        <f>IF($A93&lt;$D$5+$D$4,0,IF(AND($A93&gt;=$D$5,$A93&lt;=INT($D$8)-1+$D$4),LOOKUP($A93,Retraite!$A$7:$A$47,Retraite!$K$7:$K$47)/LOOKUP($A93,Barèmes!$A$65:$A$148,Barèmes!$G$65:$G$148),IF($A93=INT($D$8+$D$4),(LOOKUP($A93,Retraite!$A$7:$A$47,Retraite!$K$7:$K$47)/LOOKUP($A93,Barèmes!$A$65:$A$148,Barèmes!$G$65:$G$148))*(1-(INT($D$8)+1-$D$8)),0)))</f>
        <v>0</v>
      </c>
      <c r="E93" s="151">
        <f>IF($A93&lt;$D$5+$D$4,0,IF(AND($A93&gt;=$D$5,$A93&lt;=INT($D$8)-1+$D$4),LOOKUP($A93,Retraite!$A$7:$A$47,Retraite!$N$7:$N$47)/LOOKUP($A93,Barèmes!$A$65:$A$148,Barèmes!$G$65:$G$148),IF($A93=INT($D$8+$D$4),(LOOKUP($A93,Retraite!$A$7:$A$47,Retraite!$N$7:$N$47)/LOOKUP($A93,Barèmes!$A$65:$A$148,Barèmes!$G$65:$G$148))*(1-(INT($D$8)+1-$D$8)),0)))</f>
        <v>0</v>
      </c>
      <c r="F93" s="121">
        <f>IF($A93&lt;$D$5+$D$4,LOOKUP($A93,Cot_droits!$A$17:$A$68,Cot_droits!$Q$17:$Q$68)/LOOKUP($A93,Barèmes!$A$65:$A$148,Barèmes!$G$65:$G$148),0)</f>
        <v>0</v>
      </c>
      <c r="G93" s="115"/>
      <c r="H93" s="131">
        <f>IF($A93&lt;$D$5+$D$4,0,IF(AND($A93&gt;=$D$5,$A93&lt;=INT($D$8)-1+$D$4),LOOKUP($A93,Retraite!$A$7:$A$47,Retraite!$L$7:$L$47)/LOOKUP($A93,Barèmes!$A$65:$A$148,Barèmes!$G$65:$G$148),IF($A93=INT($D$8+$D$4),(LOOKUP($A93,Retraite!$A$7:$A$47,Retraite!$L$7:$L$47)/LOOKUP($A93,Barèmes!$A$65:$A$148,Barèmes!$G$65:$G$148))*(1-(INT($D$8)+1-$D$8)),0)))</f>
        <v>0</v>
      </c>
      <c r="I93" s="151">
        <f>IF($A93&lt;$D$5+$D$4,0,IF(AND($A93&gt;=$D$5,$A93&lt;=INT($D$8)-1+$D$4),LOOKUP($A93,Retraite!$A$7:$A$47,Retraite!$P$7:$P$47)/LOOKUP($A93,Barèmes!$A$65:$A$148,Barèmes!$G$65:$G$148),IF($A93=INT($D$8+$D$4),(LOOKUP($A93,Retraite!$A$7:$A$47,Retraite!$P$7:$P$47)/LOOKUP($A93,Barèmes!$A$65:$A$148,Barèmes!$G$65:$G$148))*(1-(INT($D$8)+1-$D$8)),0)))</f>
        <v>0</v>
      </c>
      <c r="J93" s="121">
        <f>IF($A93&lt;$D$5+$D$4,(LOOKUP($A93,Cot_droits!$A$17:$A$68,Cot_droits!$H$17:$H$68)+LOOKUP($A93,Cot_droits!$A$17:$A$68,Cot_droits!$L$17:$L$68))/LOOKUP($A93,Barèmes!$A$65:$A$148,Barèmes!$G$65:$G$148),0)</f>
        <v>0</v>
      </c>
      <c r="L93" s="131">
        <f>IF($A93&lt;$D$5+$D$4,0,IF(AND($A93&gt;=$D$5,$A93&lt;=INT($D$8)-1+$D$4),LOOKUP($A93,Retraite!$A$7:$A$47,Retraite!$M$7:$M$47)/LOOKUP($A93,Barèmes!$A$65:$A$148,Barèmes!$G$65:$G$148),IF($A93=INT($D$8+$D$4),(LOOKUP($A93,Retraite!$A$7:$A$47,Retraite!$M$7:$M$47)/LOOKUP($A93,Barèmes!$A$65:$A$148,Barèmes!$G$65:$G$148))*(1-(INT($D$8)+1-$D$8)),0)))</f>
        <v>0</v>
      </c>
      <c r="M93" s="151">
        <f>IF($A93&lt;$D$5+$D$4,0,IF(AND($A93&gt;=$D$5,$A93&lt;=INT($D$8)-1+$D$4),LOOKUP($A93,Retraite!$A$7:$A$47,Retraite!$Q$7:$Q$47)/LOOKUP($A93,Barèmes!$A$65:$A$148,Barèmes!$G$65:$G$148),IF($A93=INT($D$8+$D$4),(LOOKUP($A93,Retraite!$A$7:$A$47,Retraite!$Q$7:$Q$47)/LOOKUP($A93,Barèmes!$A$65:$A$148,Barèmes!$G$65:$G$148))*(1-(INT($D$8)+1-$D$8)),0)))</f>
        <v>0</v>
      </c>
      <c r="N93" s="121">
        <f>IF($A93&lt;$D$5+$D$4,(LOOKUP($A93,Cot_droits!$A$17:$A$68,Cot_droits!$I$17:$I$68)+LOOKUP($A93,Cot_droits!$A$17:$A$68,Cot_droits!$J$17:$J$68)+LOOKUP($A93,Cot_droits!$A$17:$A$68,Cot_droits!$N$17:$N$68))/LOOKUP($A93,Barèmes!$A$65:$A$148,Barèmes!$G$65:$G$148),0)</f>
        <v>0</v>
      </c>
      <c r="O93" s="115"/>
    </row>
    <row r="94" spans="1:15" s="43" customFormat="1" ht="15.75" customHeight="1" x14ac:dyDescent="0.25">
      <c r="A94" s="148">
        <f>TRI_prix!A88</f>
        <v>2093</v>
      </c>
      <c r="B94" s="121">
        <f>Cot_droits!C93/LOOKUP($A94,Barèmes!$A$65:$A$148,Barèmes!$G$65:$G$148)</f>
        <v>0</v>
      </c>
      <c r="C94" s="135"/>
      <c r="D94" s="131">
        <f>IF($A94&lt;$D$5+$D$4,0,IF(AND($A94&gt;=$D$5,$A94&lt;=INT($D$8)-1+$D$4),LOOKUP($A94,Retraite!$A$7:$A$47,Retraite!$K$7:$K$47)/LOOKUP($A94,Barèmes!$A$65:$A$148,Barèmes!$G$65:$G$148),IF($A94=INT($D$8+$D$4),(LOOKUP($A94,Retraite!$A$7:$A$47,Retraite!$K$7:$K$47)/LOOKUP($A94,Barèmes!$A$65:$A$148,Barèmes!$G$65:$G$148))*(1-(INT($D$8)+1-$D$8)),0)))</f>
        <v>0</v>
      </c>
      <c r="E94" s="151">
        <f>IF($A94&lt;$D$5+$D$4,0,IF(AND($A94&gt;=$D$5,$A94&lt;=INT($D$8)-1+$D$4),LOOKUP($A94,Retraite!$A$7:$A$47,Retraite!$N$7:$N$47)/LOOKUP($A94,Barèmes!$A$65:$A$148,Barèmes!$G$65:$G$148),IF($A94=INT($D$8+$D$4),(LOOKUP($A94,Retraite!$A$7:$A$47,Retraite!$N$7:$N$47)/LOOKUP($A94,Barèmes!$A$65:$A$148,Barèmes!$G$65:$G$148))*(1-(INT($D$8)+1-$D$8)),0)))</f>
        <v>0</v>
      </c>
      <c r="F94" s="121">
        <f>IF($A94&lt;$D$5+$D$4,LOOKUP($A94,Cot_droits!$A$17:$A$68,Cot_droits!$Q$17:$Q$68)/LOOKUP($A94,Barèmes!$A$65:$A$148,Barèmes!$G$65:$G$148),0)</f>
        <v>0</v>
      </c>
      <c r="G94" s="115"/>
      <c r="H94" s="131">
        <f>IF($A94&lt;$D$5+$D$4,0,IF(AND($A94&gt;=$D$5,$A94&lt;=INT($D$8)-1+$D$4),LOOKUP($A94,Retraite!$A$7:$A$47,Retraite!$L$7:$L$47)/LOOKUP($A94,Barèmes!$A$65:$A$148,Barèmes!$G$65:$G$148),IF($A94=INT($D$8+$D$4),(LOOKUP($A94,Retraite!$A$7:$A$47,Retraite!$L$7:$L$47)/LOOKUP($A94,Barèmes!$A$65:$A$148,Barèmes!$G$65:$G$148))*(1-(INT($D$8)+1-$D$8)),0)))</f>
        <v>0</v>
      </c>
      <c r="I94" s="151">
        <f>IF($A94&lt;$D$5+$D$4,0,IF(AND($A94&gt;=$D$5,$A94&lt;=INT($D$8)-1+$D$4),LOOKUP($A94,Retraite!$A$7:$A$47,Retraite!$P$7:$P$47)/LOOKUP($A94,Barèmes!$A$65:$A$148,Barèmes!$G$65:$G$148),IF($A94=INT($D$8+$D$4),(LOOKUP($A94,Retraite!$A$7:$A$47,Retraite!$P$7:$P$47)/LOOKUP($A94,Barèmes!$A$65:$A$148,Barèmes!$G$65:$G$148))*(1-(INT($D$8)+1-$D$8)),0)))</f>
        <v>0</v>
      </c>
      <c r="J94" s="121">
        <f>IF($A94&lt;$D$5+$D$4,(LOOKUP($A94,Cot_droits!$A$17:$A$68,Cot_droits!$H$17:$H$68)+LOOKUP($A94,Cot_droits!$A$17:$A$68,Cot_droits!$L$17:$L$68))/LOOKUP($A94,Barèmes!$A$65:$A$148,Barèmes!$G$65:$G$148),0)</f>
        <v>0</v>
      </c>
      <c r="L94" s="131">
        <f>IF($A94&lt;$D$5+$D$4,0,IF(AND($A94&gt;=$D$5,$A94&lt;=INT($D$8)-1+$D$4),LOOKUP($A94,Retraite!$A$7:$A$47,Retraite!$M$7:$M$47)/LOOKUP($A94,Barèmes!$A$65:$A$148,Barèmes!$G$65:$G$148),IF($A94=INT($D$8+$D$4),(LOOKUP($A94,Retraite!$A$7:$A$47,Retraite!$M$7:$M$47)/LOOKUP($A94,Barèmes!$A$65:$A$148,Barèmes!$G$65:$G$148))*(1-(INT($D$8)+1-$D$8)),0)))</f>
        <v>0</v>
      </c>
      <c r="M94" s="151">
        <f>IF($A94&lt;$D$5+$D$4,0,IF(AND($A94&gt;=$D$5,$A94&lt;=INT($D$8)-1+$D$4),LOOKUP($A94,Retraite!$A$7:$A$47,Retraite!$Q$7:$Q$47)/LOOKUP($A94,Barèmes!$A$65:$A$148,Barèmes!$G$65:$G$148),IF($A94=INT($D$8+$D$4),(LOOKUP($A94,Retraite!$A$7:$A$47,Retraite!$Q$7:$Q$47)/LOOKUP($A94,Barèmes!$A$65:$A$148,Barèmes!$G$65:$G$148))*(1-(INT($D$8)+1-$D$8)),0)))</f>
        <v>0</v>
      </c>
      <c r="N94" s="121">
        <f>IF($A94&lt;$D$5+$D$4,(LOOKUP($A94,Cot_droits!$A$17:$A$68,Cot_droits!$I$17:$I$68)+LOOKUP($A94,Cot_droits!$A$17:$A$68,Cot_droits!$J$17:$J$68)+LOOKUP($A94,Cot_droits!$A$17:$A$68,Cot_droits!$N$17:$N$68))/LOOKUP($A94,Barèmes!$A$65:$A$148,Barèmes!$G$65:$G$148),0)</f>
        <v>0</v>
      </c>
      <c r="O94" s="115"/>
    </row>
    <row r="95" spans="1:15" s="43" customFormat="1" ht="15.75" customHeight="1" x14ac:dyDescent="0.25">
      <c r="A95" s="148">
        <f>TRI_prix!A89</f>
        <v>2094</v>
      </c>
      <c r="B95" s="121">
        <f>Cot_droits!C94/LOOKUP($A95,Barèmes!$A$65:$A$148,Barèmes!$G$65:$G$148)</f>
        <v>0</v>
      </c>
      <c r="C95" s="135"/>
      <c r="D95" s="131">
        <f>IF($A95&lt;$D$5+$D$4,0,IF(AND($A95&gt;=$D$5,$A95&lt;=INT($D$8)-1+$D$4),LOOKUP($A95,Retraite!$A$7:$A$47,Retraite!$K$7:$K$47)/LOOKUP($A95,Barèmes!$A$65:$A$148,Barèmes!$G$65:$G$148),IF($A95=INT($D$8+$D$4),(LOOKUP($A95,Retraite!$A$7:$A$47,Retraite!$K$7:$K$47)/LOOKUP($A95,Barèmes!$A$65:$A$148,Barèmes!$G$65:$G$148))*(1-(INT($D$8)+1-$D$8)),0)))</f>
        <v>0</v>
      </c>
      <c r="E95" s="151">
        <f>IF($A95&lt;$D$5+$D$4,0,IF(AND($A95&gt;=$D$5,$A95&lt;=INT($D$8)-1+$D$4),LOOKUP($A95,Retraite!$A$7:$A$47,Retraite!$N$7:$N$47)/LOOKUP($A95,Barèmes!$A$65:$A$148,Barèmes!$G$65:$G$148),IF($A95=INT($D$8+$D$4),(LOOKUP($A95,Retraite!$A$7:$A$47,Retraite!$N$7:$N$47)/LOOKUP($A95,Barèmes!$A$65:$A$148,Barèmes!$G$65:$G$148))*(1-(INT($D$8)+1-$D$8)),0)))</f>
        <v>0</v>
      </c>
      <c r="F95" s="121">
        <f>IF($A95&lt;$D$5+$D$4,LOOKUP($A95,Cot_droits!$A$17:$A$68,Cot_droits!$Q$17:$Q$68)/LOOKUP($A95,Barèmes!$A$65:$A$148,Barèmes!$G$65:$G$148),0)</f>
        <v>0</v>
      </c>
      <c r="G95" s="115"/>
      <c r="H95" s="131">
        <f>IF($A95&lt;$D$5+$D$4,0,IF(AND($A95&gt;=$D$5,$A95&lt;=INT($D$8)-1+$D$4),LOOKUP($A95,Retraite!$A$7:$A$47,Retraite!$L$7:$L$47)/LOOKUP($A95,Barèmes!$A$65:$A$148,Barèmes!$G$65:$G$148),IF($A95=INT($D$8+$D$4),(LOOKUP($A95,Retraite!$A$7:$A$47,Retraite!$L$7:$L$47)/LOOKUP($A95,Barèmes!$A$65:$A$148,Barèmes!$G$65:$G$148))*(1-(INT($D$8)+1-$D$8)),0)))</f>
        <v>0</v>
      </c>
      <c r="I95" s="151">
        <f>IF($A95&lt;$D$5+$D$4,0,IF(AND($A95&gt;=$D$5,$A95&lt;=INT($D$8)-1+$D$4),LOOKUP($A95,Retraite!$A$7:$A$47,Retraite!$P$7:$P$47)/LOOKUP($A95,Barèmes!$A$65:$A$148,Barèmes!$G$65:$G$148),IF($A95=INT($D$8+$D$4),(LOOKUP($A95,Retraite!$A$7:$A$47,Retraite!$P$7:$P$47)/LOOKUP($A95,Barèmes!$A$65:$A$148,Barèmes!$G$65:$G$148))*(1-(INT($D$8)+1-$D$8)),0)))</f>
        <v>0</v>
      </c>
      <c r="J95" s="121">
        <f>IF($A95&lt;$D$5+$D$4,(LOOKUP($A95,Cot_droits!$A$17:$A$68,Cot_droits!$H$17:$H$68)+LOOKUP($A95,Cot_droits!$A$17:$A$68,Cot_droits!$L$17:$L$68))/LOOKUP($A95,Barèmes!$A$65:$A$148,Barèmes!$G$65:$G$148),0)</f>
        <v>0</v>
      </c>
      <c r="L95" s="131">
        <f>IF($A95&lt;$D$5+$D$4,0,IF(AND($A95&gt;=$D$5,$A95&lt;=INT($D$8)-1+$D$4),LOOKUP($A95,Retraite!$A$7:$A$47,Retraite!$M$7:$M$47)/LOOKUP($A95,Barèmes!$A$65:$A$148,Barèmes!$G$65:$G$148),IF($A95=INT($D$8+$D$4),(LOOKUP($A95,Retraite!$A$7:$A$47,Retraite!$M$7:$M$47)/LOOKUP($A95,Barèmes!$A$65:$A$148,Barèmes!$G$65:$G$148))*(1-(INT($D$8)+1-$D$8)),0)))</f>
        <v>0</v>
      </c>
      <c r="M95" s="151">
        <f>IF($A95&lt;$D$5+$D$4,0,IF(AND($A95&gt;=$D$5,$A95&lt;=INT($D$8)-1+$D$4),LOOKUP($A95,Retraite!$A$7:$A$47,Retraite!$Q$7:$Q$47)/LOOKUP($A95,Barèmes!$A$65:$A$148,Barèmes!$G$65:$G$148),IF($A95=INT($D$8+$D$4),(LOOKUP($A95,Retraite!$A$7:$A$47,Retraite!$Q$7:$Q$47)/LOOKUP($A95,Barèmes!$A$65:$A$148,Barèmes!$G$65:$G$148))*(1-(INT($D$8)+1-$D$8)),0)))</f>
        <v>0</v>
      </c>
      <c r="N95" s="121">
        <f>IF($A95&lt;$D$5+$D$4,(LOOKUP($A95,Cot_droits!$A$17:$A$68,Cot_droits!$I$17:$I$68)+LOOKUP($A95,Cot_droits!$A$17:$A$68,Cot_droits!$J$17:$J$68)+LOOKUP($A95,Cot_droits!$A$17:$A$68,Cot_droits!$N$17:$N$68))/LOOKUP($A95,Barèmes!$A$65:$A$148,Barèmes!$G$65:$G$148),0)</f>
        <v>0</v>
      </c>
      <c r="O95" s="115"/>
    </row>
    <row r="96" spans="1:15" s="43" customFormat="1" ht="15.75" customHeight="1" x14ac:dyDescent="0.25">
      <c r="A96" s="148">
        <f>TRI_prix!A90</f>
        <v>2095</v>
      </c>
      <c r="B96" s="121">
        <f>Cot_droits!C95/LOOKUP($A96,Barèmes!$A$65:$A$148,Barèmes!$G$65:$G$148)</f>
        <v>0</v>
      </c>
      <c r="C96" s="135"/>
      <c r="D96" s="131">
        <f>IF($A96&lt;$D$5+$D$4,0,IF(AND($A96&gt;=$D$5,$A96&lt;=INT($D$8)-1+$D$4),LOOKUP($A96,Retraite!$A$7:$A$47,Retraite!$K$7:$K$47)/LOOKUP($A96,Barèmes!$A$65:$A$148,Barèmes!$G$65:$G$148),IF($A96=INT($D$8+$D$4),(LOOKUP($A96,Retraite!$A$7:$A$47,Retraite!$K$7:$K$47)/LOOKUP($A96,Barèmes!$A$65:$A$148,Barèmes!$G$65:$G$148))*(1-(INT($D$8)+1-$D$8)),0)))</f>
        <v>0</v>
      </c>
      <c r="E96" s="151">
        <f>IF($A96&lt;$D$5+$D$4,0,IF(AND($A96&gt;=$D$5,$A96&lt;=INT($D$8)-1+$D$4),LOOKUP($A96,Retraite!$A$7:$A$47,Retraite!$N$7:$N$47)/LOOKUP($A96,Barèmes!$A$65:$A$148,Barèmes!$G$65:$G$148),IF($A96=INT($D$8+$D$4),(LOOKUP($A96,Retraite!$A$7:$A$47,Retraite!$N$7:$N$47)/LOOKUP($A96,Barèmes!$A$65:$A$148,Barèmes!$G$65:$G$148))*(1-(INT($D$8)+1-$D$8)),0)))</f>
        <v>0</v>
      </c>
      <c r="F96" s="121">
        <f>IF($A96&lt;$D$5+$D$4,LOOKUP($A96,Cot_droits!$A$17:$A$68,Cot_droits!$Q$17:$Q$68)/LOOKUP($A96,Barèmes!$A$65:$A$148,Barèmes!$G$65:$G$148),0)</f>
        <v>0</v>
      </c>
      <c r="G96" s="115"/>
      <c r="H96" s="131">
        <f>IF($A96&lt;$D$5+$D$4,0,IF(AND($A96&gt;=$D$5,$A96&lt;=INT($D$8)-1+$D$4),LOOKUP($A96,Retraite!$A$7:$A$47,Retraite!$L$7:$L$47)/LOOKUP($A96,Barèmes!$A$65:$A$148,Barèmes!$G$65:$G$148),IF($A96=INT($D$8+$D$4),(LOOKUP($A96,Retraite!$A$7:$A$47,Retraite!$L$7:$L$47)/LOOKUP($A96,Barèmes!$A$65:$A$148,Barèmes!$G$65:$G$148))*(1-(INT($D$8)+1-$D$8)),0)))</f>
        <v>0</v>
      </c>
      <c r="I96" s="151">
        <f>IF($A96&lt;$D$5+$D$4,0,IF(AND($A96&gt;=$D$5,$A96&lt;=INT($D$8)-1+$D$4),LOOKUP($A96,Retraite!$A$7:$A$47,Retraite!$P$7:$P$47)/LOOKUP($A96,Barèmes!$A$65:$A$148,Barèmes!$G$65:$G$148),IF($A96=INT($D$8+$D$4),(LOOKUP($A96,Retraite!$A$7:$A$47,Retraite!$P$7:$P$47)/LOOKUP($A96,Barèmes!$A$65:$A$148,Barèmes!$G$65:$G$148))*(1-(INT($D$8)+1-$D$8)),0)))</f>
        <v>0</v>
      </c>
      <c r="J96" s="121">
        <f>IF($A96&lt;$D$5+$D$4,(LOOKUP($A96,Cot_droits!$A$17:$A$68,Cot_droits!$H$17:$H$68)+LOOKUP($A96,Cot_droits!$A$17:$A$68,Cot_droits!$L$17:$L$68))/LOOKUP($A96,Barèmes!$A$65:$A$148,Barèmes!$G$65:$G$148),0)</f>
        <v>0</v>
      </c>
      <c r="L96" s="131">
        <f>IF($A96&lt;$D$5+$D$4,0,IF(AND($A96&gt;=$D$5,$A96&lt;=INT($D$8)-1+$D$4),LOOKUP($A96,Retraite!$A$7:$A$47,Retraite!$M$7:$M$47)/LOOKUP($A96,Barèmes!$A$65:$A$148,Barèmes!$G$65:$G$148),IF($A96=INT($D$8+$D$4),(LOOKUP($A96,Retraite!$A$7:$A$47,Retraite!$M$7:$M$47)/LOOKUP($A96,Barèmes!$A$65:$A$148,Barèmes!$G$65:$G$148))*(1-(INT($D$8)+1-$D$8)),0)))</f>
        <v>0</v>
      </c>
      <c r="M96" s="151">
        <f>IF($A96&lt;$D$5+$D$4,0,IF(AND($A96&gt;=$D$5,$A96&lt;=INT($D$8)-1+$D$4),LOOKUP($A96,Retraite!$A$7:$A$47,Retraite!$Q$7:$Q$47)/LOOKUP($A96,Barèmes!$A$65:$A$148,Barèmes!$G$65:$G$148),IF($A96=INT($D$8+$D$4),(LOOKUP($A96,Retraite!$A$7:$A$47,Retraite!$Q$7:$Q$47)/LOOKUP($A96,Barèmes!$A$65:$A$148,Barèmes!$G$65:$G$148))*(1-(INT($D$8)+1-$D$8)),0)))</f>
        <v>0</v>
      </c>
      <c r="N96" s="121">
        <f>IF($A96&lt;$D$5+$D$4,(LOOKUP($A96,Cot_droits!$A$17:$A$68,Cot_droits!$I$17:$I$68)+LOOKUP($A96,Cot_droits!$A$17:$A$68,Cot_droits!$J$17:$J$68)+LOOKUP($A96,Cot_droits!$A$17:$A$68,Cot_droits!$N$17:$N$68))/LOOKUP($A96,Barèmes!$A$65:$A$148,Barèmes!$G$65:$G$148),0)</f>
        <v>0</v>
      </c>
      <c r="O96" s="115"/>
    </row>
    <row r="97" spans="1:15" s="43" customFormat="1" ht="15.75" customHeight="1" x14ac:dyDescent="0.25">
      <c r="A97" s="148">
        <f>TRI_prix!A91</f>
        <v>2096</v>
      </c>
      <c r="B97" s="121">
        <f>Cot_droits!C96/LOOKUP($A97,Barèmes!$A$65:$A$148,Barèmes!$G$65:$G$148)</f>
        <v>0</v>
      </c>
      <c r="C97" s="135"/>
      <c r="D97" s="131">
        <f>IF($A97&lt;$D$5+$D$4,0,IF(AND($A97&gt;=$D$5,$A97&lt;=INT($D$8)-1+$D$4),LOOKUP($A97,Retraite!$A$7:$A$47,Retraite!$K$7:$K$47)/LOOKUP($A97,Barèmes!$A$65:$A$148,Barèmes!$G$65:$G$148),IF($A97=INT($D$8+$D$4),(LOOKUP($A97,Retraite!$A$7:$A$47,Retraite!$K$7:$K$47)/LOOKUP($A97,Barèmes!$A$65:$A$148,Barèmes!$G$65:$G$148))*(1-(INT($D$8)+1-$D$8)),0)))</f>
        <v>0</v>
      </c>
      <c r="E97" s="151">
        <f>IF($A97&lt;$D$5+$D$4,0,IF(AND($A97&gt;=$D$5,$A97&lt;=INT($D$8)-1+$D$4),LOOKUP($A97,Retraite!$A$7:$A$47,Retraite!$N$7:$N$47)/LOOKUP($A97,Barèmes!$A$65:$A$148,Barèmes!$G$65:$G$148),IF($A97=INT($D$8+$D$4),(LOOKUP($A97,Retraite!$A$7:$A$47,Retraite!$N$7:$N$47)/LOOKUP($A97,Barèmes!$A$65:$A$148,Barèmes!$G$65:$G$148))*(1-(INT($D$8)+1-$D$8)),0)))</f>
        <v>0</v>
      </c>
      <c r="F97" s="121">
        <f>IF($A97&lt;$D$5+$D$4,LOOKUP($A97,Cot_droits!$A$17:$A$68,Cot_droits!$Q$17:$Q$68)/LOOKUP($A97,Barèmes!$A$65:$A$148,Barèmes!$G$65:$G$148),0)</f>
        <v>0</v>
      </c>
      <c r="G97" s="115"/>
      <c r="H97" s="131">
        <f>IF($A97&lt;$D$5+$D$4,0,IF(AND($A97&gt;=$D$5,$A97&lt;=INT($D$8)-1+$D$4),LOOKUP($A97,Retraite!$A$7:$A$47,Retraite!$L$7:$L$47)/LOOKUP($A97,Barèmes!$A$65:$A$148,Barèmes!$G$65:$G$148),IF($A97=INT($D$8+$D$4),(LOOKUP($A97,Retraite!$A$7:$A$47,Retraite!$L$7:$L$47)/LOOKUP($A97,Barèmes!$A$65:$A$148,Barèmes!$G$65:$G$148))*(1-(INT($D$8)+1-$D$8)),0)))</f>
        <v>0</v>
      </c>
      <c r="I97" s="151">
        <f>IF($A97&lt;$D$5+$D$4,0,IF(AND($A97&gt;=$D$5,$A97&lt;=INT($D$8)-1+$D$4),LOOKUP($A97,Retraite!$A$7:$A$47,Retraite!$P$7:$P$47)/LOOKUP($A97,Barèmes!$A$65:$A$148,Barèmes!$G$65:$G$148),IF($A97=INT($D$8+$D$4),(LOOKUP($A97,Retraite!$A$7:$A$47,Retraite!$P$7:$P$47)/LOOKUP($A97,Barèmes!$A$65:$A$148,Barèmes!$G$65:$G$148))*(1-(INT($D$8)+1-$D$8)),0)))</f>
        <v>0</v>
      </c>
      <c r="J97" s="121">
        <f>IF($A97&lt;$D$5+$D$4,(LOOKUP($A97,Cot_droits!$A$17:$A$68,Cot_droits!$H$17:$H$68)+LOOKUP($A97,Cot_droits!$A$17:$A$68,Cot_droits!$L$17:$L$68))/LOOKUP($A97,Barèmes!$A$65:$A$148,Barèmes!$G$65:$G$148),0)</f>
        <v>0</v>
      </c>
      <c r="L97" s="131">
        <f>IF($A97&lt;$D$5+$D$4,0,IF(AND($A97&gt;=$D$5,$A97&lt;=INT($D$8)-1+$D$4),LOOKUP($A97,Retraite!$A$7:$A$47,Retraite!$M$7:$M$47)/LOOKUP($A97,Barèmes!$A$65:$A$148,Barèmes!$G$65:$G$148),IF($A97=INT($D$8+$D$4),(LOOKUP($A97,Retraite!$A$7:$A$47,Retraite!$M$7:$M$47)/LOOKUP($A97,Barèmes!$A$65:$A$148,Barèmes!$G$65:$G$148))*(1-(INT($D$8)+1-$D$8)),0)))</f>
        <v>0</v>
      </c>
      <c r="M97" s="151">
        <f>IF($A97&lt;$D$5+$D$4,0,IF(AND($A97&gt;=$D$5,$A97&lt;=INT($D$8)-1+$D$4),LOOKUP($A97,Retraite!$A$7:$A$47,Retraite!$Q$7:$Q$47)/LOOKUP($A97,Barèmes!$A$65:$A$148,Barèmes!$G$65:$G$148),IF($A97=INT($D$8+$D$4),(LOOKUP($A97,Retraite!$A$7:$A$47,Retraite!$Q$7:$Q$47)/LOOKUP($A97,Barèmes!$A$65:$A$148,Barèmes!$G$65:$G$148))*(1-(INT($D$8)+1-$D$8)),0)))</f>
        <v>0</v>
      </c>
      <c r="N97" s="121">
        <f>IF($A97&lt;$D$5+$D$4,(LOOKUP($A97,Cot_droits!$A$17:$A$68,Cot_droits!$I$17:$I$68)+LOOKUP($A97,Cot_droits!$A$17:$A$68,Cot_droits!$J$17:$J$68)+LOOKUP($A97,Cot_droits!$A$17:$A$68,Cot_droits!$N$17:$N$68))/LOOKUP($A97,Barèmes!$A$65:$A$148,Barèmes!$G$65:$G$148),0)</f>
        <v>0</v>
      </c>
      <c r="O97" s="115"/>
    </row>
    <row r="98" spans="1:15" s="43" customFormat="1" ht="15.75" customHeight="1" x14ac:dyDescent="0.25">
      <c r="A98" s="148">
        <f>TRI_prix!A92</f>
        <v>2097</v>
      </c>
      <c r="B98" s="121">
        <f>Cot_droits!C97/LOOKUP($A98,Barèmes!$A$65:$A$148,Barèmes!$G$65:$G$148)</f>
        <v>0</v>
      </c>
      <c r="C98" s="135"/>
      <c r="D98" s="131">
        <f>IF($A98&lt;$D$5+$D$4,0,IF(AND($A98&gt;=$D$5,$A98&lt;=INT($D$8)-1+$D$4),LOOKUP($A98,Retraite!$A$7:$A$47,Retraite!$K$7:$K$47)/LOOKUP($A98,Barèmes!$A$65:$A$148,Barèmes!$G$65:$G$148),IF($A98=INT($D$8+$D$4),(LOOKUP($A98,Retraite!$A$7:$A$47,Retraite!$K$7:$K$47)/LOOKUP($A98,Barèmes!$A$65:$A$148,Barèmes!$G$65:$G$148))*(1-(INT($D$8)+1-$D$8)),0)))</f>
        <v>0</v>
      </c>
      <c r="E98" s="151">
        <f>IF($A98&lt;$D$5+$D$4,0,IF(AND($A98&gt;=$D$5,$A98&lt;=INT($D$8)-1+$D$4),LOOKUP($A98,Retraite!$A$7:$A$47,Retraite!$N$7:$N$47)/LOOKUP($A98,Barèmes!$A$65:$A$148,Barèmes!$G$65:$G$148),IF($A98=INT($D$8+$D$4),(LOOKUP($A98,Retraite!$A$7:$A$47,Retraite!$N$7:$N$47)/LOOKUP($A98,Barèmes!$A$65:$A$148,Barèmes!$G$65:$G$148))*(1-(INT($D$8)+1-$D$8)),0)))</f>
        <v>0</v>
      </c>
      <c r="F98" s="121">
        <f>IF($A98&lt;$D$5+$D$4,LOOKUP($A98,Cot_droits!$A$17:$A$68,Cot_droits!$Q$17:$Q$68)/LOOKUP($A98,Barèmes!$A$65:$A$148,Barèmes!$G$65:$G$148),0)</f>
        <v>0</v>
      </c>
      <c r="G98" s="115"/>
      <c r="H98" s="131">
        <f>IF($A98&lt;$D$5+$D$4,0,IF(AND($A98&gt;=$D$5,$A98&lt;=INT($D$8)-1+$D$4),LOOKUP($A98,Retraite!$A$7:$A$47,Retraite!$L$7:$L$47)/LOOKUP($A98,Barèmes!$A$65:$A$148,Barèmes!$G$65:$G$148),IF($A98=INT($D$8+$D$4),(LOOKUP($A98,Retraite!$A$7:$A$47,Retraite!$L$7:$L$47)/LOOKUP($A98,Barèmes!$A$65:$A$148,Barèmes!$G$65:$G$148))*(1-(INT($D$8)+1-$D$8)),0)))</f>
        <v>0</v>
      </c>
      <c r="I98" s="151">
        <f>IF($A98&lt;$D$5+$D$4,0,IF(AND($A98&gt;=$D$5,$A98&lt;=INT($D$8)-1+$D$4),LOOKUP($A98,Retraite!$A$7:$A$47,Retraite!$P$7:$P$47)/LOOKUP($A98,Barèmes!$A$65:$A$148,Barèmes!$G$65:$G$148),IF($A98=INT($D$8+$D$4),(LOOKUP($A98,Retraite!$A$7:$A$47,Retraite!$P$7:$P$47)/LOOKUP($A98,Barèmes!$A$65:$A$148,Barèmes!$G$65:$G$148))*(1-(INT($D$8)+1-$D$8)),0)))</f>
        <v>0</v>
      </c>
      <c r="J98" s="121">
        <f>IF($A98&lt;$D$5+$D$4,(LOOKUP($A98,Cot_droits!$A$17:$A$68,Cot_droits!$H$17:$H$68)+LOOKUP($A98,Cot_droits!$A$17:$A$68,Cot_droits!$L$17:$L$68))/LOOKUP($A98,Barèmes!$A$65:$A$148,Barèmes!$G$65:$G$148),0)</f>
        <v>0</v>
      </c>
      <c r="L98" s="131">
        <f>IF($A98&lt;$D$5+$D$4,0,IF(AND($A98&gt;=$D$5,$A98&lt;=INT($D$8)-1+$D$4),LOOKUP($A98,Retraite!$A$7:$A$47,Retraite!$M$7:$M$47)/LOOKUP($A98,Barèmes!$A$65:$A$148,Barèmes!$G$65:$G$148),IF($A98=INT($D$8+$D$4),(LOOKUP($A98,Retraite!$A$7:$A$47,Retraite!$M$7:$M$47)/LOOKUP($A98,Barèmes!$A$65:$A$148,Barèmes!$G$65:$G$148))*(1-(INT($D$8)+1-$D$8)),0)))</f>
        <v>0</v>
      </c>
      <c r="M98" s="151">
        <f>IF($A98&lt;$D$5+$D$4,0,IF(AND($A98&gt;=$D$5,$A98&lt;=INT($D$8)-1+$D$4),LOOKUP($A98,Retraite!$A$7:$A$47,Retraite!$Q$7:$Q$47)/LOOKUP($A98,Barèmes!$A$65:$A$148,Barèmes!$G$65:$G$148),IF($A98=INT($D$8+$D$4),(LOOKUP($A98,Retraite!$A$7:$A$47,Retraite!$Q$7:$Q$47)/LOOKUP($A98,Barèmes!$A$65:$A$148,Barèmes!$G$65:$G$148))*(1-(INT($D$8)+1-$D$8)),0)))</f>
        <v>0</v>
      </c>
      <c r="N98" s="121">
        <f>IF($A98&lt;$D$5+$D$4,(LOOKUP($A98,Cot_droits!$A$17:$A$68,Cot_droits!$I$17:$I$68)+LOOKUP($A98,Cot_droits!$A$17:$A$68,Cot_droits!$J$17:$J$68)+LOOKUP($A98,Cot_droits!$A$17:$A$68,Cot_droits!$N$17:$N$68))/LOOKUP($A98,Barèmes!$A$65:$A$148,Barèmes!$G$65:$G$148),0)</f>
        <v>0</v>
      </c>
      <c r="O98" s="115"/>
    </row>
    <row r="99" spans="1:15" s="43" customFormat="1" ht="15.75" customHeight="1" x14ac:dyDescent="0.25">
      <c r="A99" s="148">
        <f>TRI_prix!A93</f>
        <v>2098</v>
      </c>
      <c r="B99" s="121">
        <f>Cot_droits!C98/LOOKUP($A99,Barèmes!$A$65:$A$148,Barèmes!$G$65:$G$148)</f>
        <v>0</v>
      </c>
      <c r="C99" s="135"/>
      <c r="D99" s="131">
        <f>IF($A99&lt;$D$5+$D$4,0,IF(AND($A99&gt;=$D$5,$A99&lt;=INT($D$8)-1+$D$4),LOOKUP($A99,Retraite!$A$7:$A$47,Retraite!$K$7:$K$47)/LOOKUP($A99,Barèmes!$A$65:$A$148,Barèmes!$G$65:$G$148),IF($A99=INT($D$8+$D$4),(LOOKUP($A99,Retraite!$A$7:$A$47,Retraite!$K$7:$K$47)/LOOKUP($A99,Barèmes!$A$65:$A$148,Barèmes!$G$65:$G$148))*(1-(INT($D$8)+1-$D$8)),0)))</f>
        <v>0</v>
      </c>
      <c r="E99" s="151">
        <f>IF($A99&lt;$D$5+$D$4,0,IF(AND($A99&gt;=$D$5,$A99&lt;=INT($D$8)-1+$D$4),LOOKUP($A99,Retraite!$A$7:$A$47,Retraite!$N$7:$N$47)/LOOKUP($A99,Barèmes!$A$65:$A$148,Barèmes!$G$65:$G$148),IF($A99=INT($D$8+$D$4),(LOOKUP($A99,Retraite!$A$7:$A$47,Retraite!$N$7:$N$47)/LOOKUP($A99,Barèmes!$A$65:$A$148,Barèmes!$G$65:$G$148))*(1-(INT($D$8)+1-$D$8)),0)))</f>
        <v>0</v>
      </c>
      <c r="F99" s="121">
        <f>IF($A99&lt;$D$5+$D$4,LOOKUP($A99,Cot_droits!$A$17:$A$68,Cot_droits!$Q$17:$Q$68)/LOOKUP($A99,Barèmes!$A$65:$A$148,Barèmes!$G$65:$G$148),0)</f>
        <v>0</v>
      </c>
      <c r="G99" s="115"/>
      <c r="H99" s="131">
        <f>IF($A99&lt;$D$5+$D$4,0,IF(AND($A99&gt;=$D$5,$A99&lt;=INT($D$8)-1+$D$4),LOOKUP($A99,Retraite!$A$7:$A$47,Retraite!$L$7:$L$47)/LOOKUP($A99,Barèmes!$A$65:$A$148,Barèmes!$G$65:$G$148),IF($A99=INT($D$8+$D$4),(LOOKUP($A99,Retraite!$A$7:$A$47,Retraite!$L$7:$L$47)/LOOKUP($A99,Barèmes!$A$65:$A$148,Barèmes!$G$65:$G$148))*(1-(INT($D$8)+1-$D$8)),0)))</f>
        <v>0</v>
      </c>
      <c r="I99" s="151">
        <f>IF($A99&lt;$D$5+$D$4,0,IF(AND($A99&gt;=$D$5,$A99&lt;=INT($D$8)-1+$D$4),LOOKUP($A99,Retraite!$A$7:$A$47,Retraite!$P$7:$P$47)/LOOKUP($A99,Barèmes!$A$65:$A$148,Barèmes!$G$65:$G$148),IF($A99=INT($D$8+$D$4),(LOOKUP($A99,Retraite!$A$7:$A$47,Retraite!$P$7:$P$47)/LOOKUP($A99,Barèmes!$A$65:$A$148,Barèmes!$G$65:$G$148))*(1-(INT($D$8)+1-$D$8)),0)))</f>
        <v>0</v>
      </c>
      <c r="J99" s="121">
        <f>IF($A99&lt;$D$5+$D$4,(LOOKUP($A99,Cot_droits!$A$17:$A$68,Cot_droits!$H$17:$H$68)+LOOKUP($A99,Cot_droits!$A$17:$A$68,Cot_droits!$L$17:$L$68))/LOOKUP($A99,Barèmes!$A$65:$A$148,Barèmes!$G$65:$G$148),0)</f>
        <v>0</v>
      </c>
      <c r="L99" s="131">
        <f>IF($A99&lt;$D$5+$D$4,0,IF(AND($A99&gt;=$D$5,$A99&lt;=INT($D$8)-1+$D$4),LOOKUP($A99,Retraite!$A$7:$A$47,Retraite!$M$7:$M$47)/LOOKUP($A99,Barèmes!$A$65:$A$148,Barèmes!$G$65:$G$148),IF($A99=INT($D$8+$D$4),(LOOKUP($A99,Retraite!$A$7:$A$47,Retraite!$M$7:$M$47)/LOOKUP($A99,Barèmes!$A$65:$A$148,Barèmes!$G$65:$G$148))*(1-(INT($D$8)+1-$D$8)),0)))</f>
        <v>0</v>
      </c>
      <c r="M99" s="151">
        <f>IF($A99&lt;$D$5+$D$4,0,IF(AND($A99&gt;=$D$5,$A99&lt;=INT($D$8)-1+$D$4),LOOKUP($A99,Retraite!$A$7:$A$47,Retraite!$Q$7:$Q$47)/LOOKUP($A99,Barèmes!$A$65:$A$148,Barèmes!$G$65:$G$148),IF($A99=INT($D$8+$D$4),(LOOKUP($A99,Retraite!$A$7:$A$47,Retraite!$Q$7:$Q$47)/LOOKUP($A99,Barèmes!$A$65:$A$148,Barèmes!$G$65:$G$148))*(1-(INT($D$8)+1-$D$8)),0)))</f>
        <v>0</v>
      </c>
      <c r="N99" s="121">
        <f>IF($A99&lt;$D$5+$D$4,(LOOKUP($A99,Cot_droits!$A$17:$A$68,Cot_droits!$I$17:$I$68)+LOOKUP($A99,Cot_droits!$A$17:$A$68,Cot_droits!$J$17:$J$68)+LOOKUP($A99,Cot_droits!$A$17:$A$68,Cot_droits!$N$17:$N$68))/LOOKUP($A99,Barèmes!$A$65:$A$148,Barèmes!$G$65:$G$148),0)</f>
        <v>0</v>
      </c>
      <c r="O99" s="115"/>
    </row>
    <row r="100" spans="1:15" s="43" customFormat="1" ht="15.75" customHeight="1" x14ac:dyDescent="0.25">
      <c r="A100" s="148">
        <f>TRI_prix!A94</f>
        <v>2099</v>
      </c>
      <c r="B100" s="121">
        <f>Cot_droits!C99/LOOKUP($A100,Barèmes!$A$65:$A$148,Barèmes!$G$65:$G$148)</f>
        <v>0</v>
      </c>
      <c r="C100" s="135"/>
      <c r="D100" s="131">
        <f>IF($A100&lt;$D$5+$D$4,0,IF(AND($A100&gt;=$D$5,$A100&lt;=INT($D$8)-1+$D$4),LOOKUP($A100,Retraite!$A$7:$A$47,Retraite!$K$7:$K$47)/LOOKUP($A100,Barèmes!$A$65:$A$148,Barèmes!$G$65:$G$148),IF($A100=INT($D$8+$D$4),(LOOKUP($A100,Retraite!$A$7:$A$47,Retraite!$K$7:$K$47)/LOOKUP($A100,Barèmes!$A$65:$A$148,Barèmes!$G$65:$G$148))*(1-(INT($D$8)+1-$D$8)),0)))</f>
        <v>0</v>
      </c>
      <c r="E100" s="151">
        <f>IF($A100&lt;$D$5+$D$4,0,IF(AND($A100&gt;=$D$5,$A100&lt;=INT($D$8)-1+$D$4),LOOKUP($A100,Retraite!$A$7:$A$47,Retraite!$N$7:$N$47)/LOOKUP($A100,Barèmes!$A$65:$A$148,Barèmes!$G$65:$G$148),IF($A100=INT($D$8+$D$4),(LOOKUP($A100,Retraite!$A$7:$A$47,Retraite!$N$7:$N$47)/LOOKUP($A100,Barèmes!$A$65:$A$148,Barèmes!$G$65:$G$148))*(1-(INT($D$8)+1-$D$8)),0)))</f>
        <v>0</v>
      </c>
      <c r="F100" s="121">
        <f>IF($A100&lt;$D$5+$D$4,LOOKUP($A100,Cot_droits!$A$17:$A$68,Cot_droits!$Q$17:$Q$68)/LOOKUP($A100,Barèmes!$A$65:$A$148,Barèmes!$G$65:$G$148),0)</f>
        <v>0</v>
      </c>
      <c r="G100" s="115"/>
      <c r="H100" s="131">
        <f>IF($A100&lt;$D$5+$D$4,0,IF(AND($A100&gt;=$D$5,$A100&lt;=INT($D$8)-1+$D$4),LOOKUP($A100,Retraite!$A$7:$A$47,Retraite!$L$7:$L$47)/LOOKUP($A100,Barèmes!$A$65:$A$148,Barèmes!$G$65:$G$148),IF($A100=INT($D$8+$D$4),(LOOKUP($A100,Retraite!$A$7:$A$47,Retraite!$L$7:$L$47)/LOOKUP($A100,Barèmes!$A$65:$A$148,Barèmes!$G$65:$G$148))*(1-(INT($D$8)+1-$D$8)),0)))</f>
        <v>0</v>
      </c>
      <c r="I100" s="151">
        <f>IF($A100&lt;$D$5+$D$4,0,IF(AND($A100&gt;=$D$5,$A100&lt;=INT($D$8)-1+$D$4),LOOKUP($A100,Retraite!$A$7:$A$47,Retraite!$P$7:$P$47)/LOOKUP($A100,Barèmes!$A$65:$A$148,Barèmes!$G$65:$G$148),IF($A100=INT($D$8+$D$4),(LOOKUP($A100,Retraite!$A$7:$A$47,Retraite!$P$7:$P$47)/LOOKUP($A100,Barèmes!$A$65:$A$148,Barèmes!$G$65:$G$148))*(1-(INT($D$8)+1-$D$8)),0)))</f>
        <v>0</v>
      </c>
      <c r="J100" s="121">
        <f>IF($A100&lt;$D$5+$D$4,(LOOKUP($A100,Cot_droits!$A$17:$A$68,Cot_droits!$H$17:$H$68)+LOOKUP($A100,Cot_droits!$A$17:$A$68,Cot_droits!$L$17:$L$68))/LOOKUP($A100,Barèmes!$A$65:$A$148,Barèmes!$G$65:$G$148),0)</f>
        <v>0</v>
      </c>
      <c r="L100" s="131">
        <f>IF($A100&lt;$D$5+$D$4,0,IF(AND($A100&gt;=$D$5,$A100&lt;=INT($D$8)-1+$D$4),LOOKUP($A100,Retraite!$A$7:$A$47,Retraite!$M$7:$M$47)/LOOKUP($A100,Barèmes!$A$65:$A$148,Barèmes!$G$65:$G$148),IF($A100=INT($D$8+$D$4),(LOOKUP($A100,Retraite!$A$7:$A$47,Retraite!$M$7:$M$47)/LOOKUP($A100,Barèmes!$A$65:$A$148,Barèmes!$G$65:$G$148))*(1-(INT($D$8)+1-$D$8)),0)))</f>
        <v>0</v>
      </c>
      <c r="M100" s="151">
        <f>IF($A100&lt;$D$5+$D$4,0,IF(AND($A100&gt;=$D$5,$A100&lt;=INT($D$8)-1+$D$4),LOOKUP($A100,Retraite!$A$7:$A$47,Retraite!$Q$7:$Q$47)/LOOKUP($A100,Barèmes!$A$65:$A$148,Barèmes!$G$65:$G$148),IF($A100=INT($D$8+$D$4),(LOOKUP($A100,Retraite!$A$7:$A$47,Retraite!$Q$7:$Q$47)/LOOKUP($A100,Barèmes!$A$65:$A$148,Barèmes!$G$65:$G$148))*(1-(INT($D$8)+1-$D$8)),0)))</f>
        <v>0</v>
      </c>
      <c r="N100" s="121">
        <f>IF($A100&lt;$D$5+$D$4,(LOOKUP($A100,Cot_droits!$A$17:$A$68,Cot_droits!$I$17:$I$68)+LOOKUP($A100,Cot_droits!$A$17:$A$68,Cot_droits!$J$17:$J$68)+LOOKUP($A100,Cot_droits!$A$17:$A$68,Cot_droits!$N$17:$N$68))/LOOKUP($A100,Barèmes!$A$65:$A$148,Barèmes!$G$65:$G$148),0)</f>
        <v>0</v>
      </c>
      <c r="O100" s="115"/>
    </row>
    <row r="101" spans="1:15" s="43" customFormat="1" ht="15.75" customHeight="1" thickBot="1" x14ac:dyDescent="0.3">
      <c r="A101" s="149">
        <f>TRI_prix!A95</f>
        <v>2100</v>
      </c>
      <c r="B101" s="123">
        <f>Cot_droits!C100/LOOKUP($A101,Barèmes!$A$65:$A$148,Barèmes!$G$65:$G$148)</f>
        <v>0</v>
      </c>
      <c r="C101" s="135"/>
      <c r="D101" s="132">
        <f>IF($A101&lt;$D$5+$D$4,0,IF(AND($A101&gt;=$D$5,$A101&lt;=INT($D$8)-1+$D$4),LOOKUP($A101,Retraite!$A$7:$A$47,Retraite!$K$7:$K$47)/LOOKUP($A101,Barèmes!$A$65:$A$148,Barèmes!$G$65:$G$148),IF($A101=INT($D$8+$D$4),(LOOKUP($A101,Retraite!$A$7:$A$47,Retraite!$K$7:$K$47)/LOOKUP($A101,Barèmes!$A$65:$A$148,Barèmes!$G$65:$G$148))*(1-(INT($D$8)+1-$D$8)),0)))</f>
        <v>0</v>
      </c>
      <c r="E101" s="152">
        <f>IF($A101&lt;$D$5+$D$4,0,IF(AND($A101&gt;=$D$5,$A101&lt;=INT($D$8)-1+$D$4),LOOKUP($A101,Retraite!$A$7:$A$47,Retraite!$N$7:$N$47)/LOOKUP($A101,Barèmes!$A$65:$A$148,Barèmes!$G$65:$G$148),IF($A101=INT($D$8+$D$4),(LOOKUP($A101,Retraite!$A$7:$A$47,Retraite!$N$7:$N$47)/LOOKUP($A101,Barèmes!$A$65:$A$148,Barèmes!$G$65:$G$148))*(1-(INT($D$8)+1-$D$8)),0)))</f>
        <v>0</v>
      </c>
      <c r="F101" s="123">
        <f>IF($A101&lt;$D$5+$D$4,LOOKUP($A101,Cot_droits!$A$17:$A$68,Cot_droits!$Q$17:$Q$68)/LOOKUP($A101,Barèmes!$A$65:$A$148,Barèmes!$G$65:$G$148),0)</f>
        <v>0</v>
      </c>
      <c r="G101" s="115"/>
      <c r="H101" s="132">
        <f>IF($A101&lt;$D$5+$D$4,0,IF(AND($A101&gt;=$D$5,$A101&lt;=INT($D$8)-1+$D$4),LOOKUP($A101,Retraite!$A$7:$A$47,Retraite!$L$7:$L$47)/LOOKUP($A101,Barèmes!$A$65:$A$148,Barèmes!$G$65:$G$148),IF($A101=INT($D$8+$D$4),(LOOKUP($A101,Retraite!$A$7:$A$47,Retraite!$L$7:$L$47)/LOOKUP($A101,Barèmes!$A$65:$A$148,Barèmes!$G$65:$G$148))*(1-(INT($D$8)+1-$D$8)),0)))</f>
        <v>0</v>
      </c>
      <c r="I101" s="152">
        <f>IF($A101&lt;$D$5+$D$4,0,IF(AND($A101&gt;=$D$5,$A101&lt;=INT($D$8)-1+$D$4),LOOKUP($A101,Retraite!$A$7:$A$47,Retraite!$P$7:$P$47)/LOOKUP($A101,Barèmes!$A$65:$A$148,Barèmes!$G$65:$G$148),IF($A101=INT($D$8+$D$4),(LOOKUP($A101,Retraite!$A$7:$A$47,Retraite!$P$7:$P$47)/LOOKUP($A101,Barèmes!$A$65:$A$148,Barèmes!$G$65:$G$148))*(1-(INT($D$8)+1-$D$8)),0)))</f>
        <v>0</v>
      </c>
      <c r="J101" s="123">
        <f>IF($A101&lt;$D$5+$D$4,(LOOKUP($A101,Cot_droits!$A$17:$A$68,Cot_droits!$H$17:$H$68)+LOOKUP($A101,Cot_droits!$A$17:$A$68,Cot_droits!$L$17:$L$68))/LOOKUP($A101,Barèmes!$A$65:$A$148,Barèmes!$G$65:$G$148),0)</f>
        <v>0</v>
      </c>
      <c r="L101" s="132">
        <f>IF($A101&lt;$D$5+$D$4,0,IF(AND($A101&gt;=$D$5,$A101&lt;=INT($D$8)-1+$D$4),LOOKUP($A101,Retraite!$A$7:$A$47,Retraite!$M$7:$M$47)/LOOKUP($A101,Barèmes!$A$65:$A$148,Barèmes!$G$65:$G$148),IF($A101=INT($D$8+$D$4),(LOOKUP($A101,Retraite!$A$7:$A$47,Retraite!$M$7:$M$47)/LOOKUP($A101,Barèmes!$A$65:$A$148,Barèmes!$G$65:$G$148))*(1-(INT($D$8)+1-$D$8)),0)))</f>
        <v>0</v>
      </c>
      <c r="M101" s="152">
        <f>IF($A101&lt;$D$5+$D$4,0,IF(AND($A101&gt;=$D$5,$A101&lt;=INT($D$8)-1+$D$4),LOOKUP($A101,Retraite!$A$7:$A$47,Retraite!$Q$7:$Q$47)/LOOKUP($A101,Barèmes!$A$65:$A$148,Barèmes!$G$65:$G$148),IF($A101=INT($D$8+$D$4),(LOOKUP($A101,Retraite!$A$7:$A$47,Retraite!$Q$7:$Q$47)/LOOKUP($A101,Barèmes!$A$65:$A$148,Barèmes!$G$65:$G$148))*(1-(INT($D$8)+1-$D$8)),0)))</f>
        <v>0</v>
      </c>
      <c r="N101" s="123">
        <f>IF($A101&lt;$D$5+$D$4,(LOOKUP($A101,Cot_droits!$A$17:$A$68,Cot_droits!$I$17:$I$68)+LOOKUP($A101,Cot_droits!$A$17:$A$68,Cot_droits!$J$17:$J$68)+LOOKUP($A101,Cot_droits!$A$17:$A$68,Cot_droits!$N$17:$N$68))/LOOKUP($A101,Barèmes!$A$65:$A$148,Barèmes!$G$65:$G$148),0)</f>
        <v>0</v>
      </c>
      <c r="O101" s="115"/>
    </row>
    <row r="102" spans="1:15" s="43" customFormat="1" ht="15.75" customHeight="1" x14ac:dyDescent="0.25">
      <c r="A102" s="4"/>
      <c r="B102" s="4"/>
      <c r="C102" s="135"/>
    </row>
    <row r="103" spans="1:15" s="43" customFormat="1" ht="15.75" customHeight="1" x14ac:dyDescent="0.25">
      <c r="A103" s="4"/>
      <c r="B103" s="4"/>
      <c r="C103" s="135"/>
    </row>
  </sheetData>
  <mergeCells count="19">
    <mergeCell ref="D10:N10"/>
    <mergeCell ref="D7:F7"/>
    <mergeCell ref="H7:J7"/>
    <mergeCell ref="L7:N7"/>
    <mergeCell ref="D8:F8"/>
    <mergeCell ref="H8:J8"/>
    <mergeCell ref="L8:N8"/>
    <mergeCell ref="D5:F5"/>
    <mergeCell ref="H5:J5"/>
    <mergeCell ref="L5:N5"/>
    <mergeCell ref="D6:F6"/>
    <mergeCell ref="H6:J6"/>
    <mergeCell ref="L6:N6"/>
    <mergeCell ref="D2:F2"/>
    <mergeCell ref="H2:J2"/>
    <mergeCell ref="L2:N2"/>
    <mergeCell ref="D4:F4"/>
    <mergeCell ref="H4:J4"/>
    <mergeCell ref="L4:N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C4:C25"/>
  <sheetViews>
    <sheetView topLeftCell="A22" workbookViewId="0">
      <selection activeCell="A22" sqref="A1:XFD1048576"/>
    </sheetView>
  </sheetViews>
  <sheetFormatPr baseColWidth="10" defaultRowHeight="15" x14ac:dyDescent="0.25"/>
  <sheetData>
    <row r="4" spans="3:3" x14ac:dyDescent="0.25">
      <c r="C4" s="1" t="s">
        <v>109</v>
      </c>
    </row>
    <row r="5" spans="3:3" x14ac:dyDescent="0.25">
      <c r="C5" s="105" t="s">
        <v>110</v>
      </c>
    </row>
    <row r="6" spans="3:3" x14ac:dyDescent="0.25">
      <c r="C6" s="104" t="s">
        <v>111</v>
      </c>
    </row>
    <row r="7" spans="3:3" x14ac:dyDescent="0.25">
      <c r="C7" s="104" t="s">
        <v>112</v>
      </c>
    </row>
    <row r="8" spans="3:3" x14ac:dyDescent="0.25">
      <c r="C8" s="104" t="s">
        <v>113</v>
      </c>
    </row>
    <row r="9" spans="3:3" x14ac:dyDescent="0.25">
      <c r="C9" s="105" t="s">
        <v>114</v>
      </c>
    </row>
    <row r="10" spans="3:3" x14ac:dyDescent="0.25">
      <c r="C10" s="104" t="s">
        <v>115</v>
      </c>
    </row>
    <row r="11" spans="3:3" x14ac:dyDescent="0.25">
      <c r="C11" s="104" t="s">
        <v>116</v>
      </c>
    </row>
    <row r="12" spans="3:3" x14ac:dyDescent="0.25">
      <c r="C12" s="104" t="s">
        <v>117</v>
      </c>
    </row>
    <row r="13" spans="3:3" x14ac:dyDescent="0.25">
      <c r="C13" s="104" t="s">
        <v>118</v>
      </c>
    </row>
    <row r="14" spans="3:3" x14ac:dyDescent="0.25">
      <c r="C14" s="104" t="s">
        <v>119</v>
      </c>
    </row>
    <row r="15" spans="3:3" x14ac:dyDescent="0.25">
      <c r="C15" s="104" t="s">
        <v>120</v>
      </c>
    </row>
    <row r="17" spans="3:3" x14ac:dyDescent="0.25">
      <c r="C17" s="1" t="s">
        <v>121</v>
      </c>
    </row>
    <row r="19" spans="3:3" x14ac:dyDescent="0.25">
      <c r="C19" s="1" t="s">
        <v>122</v>
      </c>
    </row>
    <row r="22" spans="3:3" x14ac:dyDescent="0.25">
      <c r="C22" t="s">
        <v>123</v>
      </c>
    </row>
    <row r="23" spans="3:3" x14ac:dyDescent="0.25">
      <c r="C23" t="s">
        <v>124</v>
      </c>
    </row>
    <row r="25" spans="3:3" x14ac:dyDescent="0.25">
      <c r="C25" s="1" t="s">
        <v>125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941"/>
  <sheetViews>
    <sheetView showGridLines="0" workbookViewId="0">
      <selection activeCell="A22" sqref="A1:XFD1048576"/>
    </sheetView>
  </sheetViews>
  <sheetFormatPr baseColWidth="10" defaultRowHeight="15.75" customHeight="1" x14ac:dyDescent="0.25"/>
  <cols>
    <col min="2" max="8" width="16.85546875" style="16" customWidth="1"/>
  </cols>
  <sheetData>
    <row r="1" spans="1:8" ht="15.75" customHeight="1" x14ac:dyDescent="0.3">
      <c r="B1" s="356" t="s">
        <v>172</v>
      </c>
      <c r="C1" s="356"/>
      <c r="D1" s="356"/>
      <c r="E1" s="356"/>
      <c r="F1" s="356"/>
      <c r="G1" s="356"/>
      <c r="H1" s="356"/>
    </row>
    <row r="2" spans="1:8" s="25" customFormat="1" ht="21.75" customHeight="1" x14ac:dyDescent="0.25">
      <c r="A2" s="26"/>
      <c r="B2" s="24"/>
      <c r="C2" s="24"/>
      <c r="D2" s="24"/>
      <c r="E2" s="355"/>
      <c r="F2" s="332"/>
      <c r="G2" s="24"/>
      <c r="H2" s="335"/>
    </row>
    <row r="3" spans="1:8" ht="15.75" customHeight="1" thickBot="1" x14ac:dyDescent="0.3"/>
    <row r="4" spans="1:8" ht="56.25" customHeight="1" thickBot="1" x14ac:dyDescent="0.3">
      <c r="B4" s="28"/>
      <c r="C4" s="29" t="s">
        <v>252</v>
      </c>
      <c r="D4" s="29" t="s">
        <v>269</v>
      </c>
      <c r="E4" s="333" t="s">
        <v>272</v>
      </c>
      <c r="F4" s="333" t="s">
        <v>270</v>
      </c>
      <c r="G4" s="333" t="s">
        <v>271</v>
      </c>
      <c r="H4" s="333" t="s">
        <v>266</v>
      </c>
    </row>
    <row r="5" spans="1:8" ht="15.75" customHeight="1" x14ac:dyDescent="0.25">
      <c r="A5" s="32"/>
      <c r="B5" s="286">
        <v>17</v>
      </c>
      <c r="C5" s="288">
        <v>1.2517168147313698</v>
      </c>
      <c r="D5" s="287">
        <v>0.21693405214811867</v>
      </c>
      <c r="E5" s="287">
        <v>0.80140741311561092</v>
      </c>
      <c r="F5" s="287">
        <v>0.22061913684953341</v>
      </c>
      <c r="G5" s="287">
        <v>0.21229732469414078</v>
      </c>
      <c r="H5" s="348">
        <f>IF(Simulation!$D$11="Non",1,IF(AND($B5&gt;=Simulation!$D$12,$B5&lt;=Simulation!$D$13),0,1))</f>
        <v>1</v>
      </c>
    </row>
    <row r="6" spans="1:8" ht="15.75" customHeight="1" x14ac:dyDescent="0.25">
      <c r="A6" s="32"/>
      <c r="B6" s="120">
        <v>18</v>
      </c>
      <c r="C6" s="288">
        <v>1.2517168147313698</v>
      </c>
      <c r="D6" s="289">
        <v>0.28268330668889025</v>
      </c>
      <c r="E6" s="289">
        <v>0.80140741311561092</v>
      </c>
      <c r="F6" s="289">
        <v>0.28748528184451633</v>
      </c>
      <c r="G6" s="289">
        <v>0.27664126102604203</v>
      </c>
      <c r="H6" s="290">
        <f>IF(Simulation!$D$11="Non",1,IF(AND($B6&gt;=Simulation!$D$12,$B6&lt;=Simulation!$D$13),0,1))</f>
        <v>1</v>
      </c>
    </row>
    <row r="7" spans="1:8" ht="15.75" customHeight="1" x14ac:dyDescent="0.25">
      <c r="A7" s="32"/>
      <c r="B7" s="120">
        <v>19</v>
      </c>
      <c r="C7" s="288">
        <v>1.2517168147313698</v>
      </c>
      <c r="D7" s="289">
        <v>0.37144033312660429</v>
      </c>
      <c r="E7" s="289">
        <v>0.80140741311561092</v>
      </c>
      <c r="F7" s="289">
        <v>0.37775003451068512</v>
      </c>
      <c r="G7" s="289">
        <v>0.36350120336311798</v>
      </c>
      <c r="H7" s="290">
        <f>IF(Simulation!$D$11="Non",1,IF(AND($B7&gt;=Simulation!$D$12,$B7&lt;=Simulation!$D$13),0,1))</f>
        <v>1</v>
      </c>
    </row>
    <row r="8" spans="1:8" ht="15.75" customHeight="1" x14ac:dyDescent="0.25">
      <c r="A8" s="32"/>
      <c r="B8" s="120">
        <v>20</v>
      </c>
      <c r="C8" s="288">
        <v>1.2517168147313698</v>
      </c>
      <c r="D8" s="289">
        <v>0.41418181577043339</v>
      </c>
      <c r="E8" s="289">
        <v>0.80140741311561092</v>
      </c>
      <c r="F8" s="289">
        <v>0.4231280824764666</v>
      </c>
      <c r="G8" s="289">
        <v>0.40089167361197342</v>
      </c>
      <c r="H8" s="290">
        <f>IF(Simulation!$D$11="Non",1,IF(AND($B8&gt;=Simulation!$D$12,$B8&lt;=Simulation!$D$13),0,1))</f>
        <v>1</v>
      </c>
    </row>
    <row r="9" spans="1:8" ht="15.75" customHeight="1" x14ac:dyDescent="0.25">
      <c r="A9" s="32"/>
      <c r="B9" s="120">
        <v>21</v>
      </c>
      <c r="C9" s="288">
        <v>1.2517168147313698</v>
      </c>
      <c r="D9" s="289">
        <v>0.37985958286286292</v>
      </c>
      <c r="E9" s="289">
        <v>0.80140741311561092</v>
      </c>
      <c r="F9" s="289">
        <v>0.38948169030539603</v>
      </c>
      <c r="G9" s="289">
        <v>0.3659018514454499</v>
      </c>
      <c r="H9" s="290">
        <f>IF(Simulation!$D$11="Non",1,IF(AND($B9&gt;=Simulation!$D$12,$B9&lt;=Simulation!$D$13),0,1))</f>
        <v>1</v>
      </c>
    </row>
    <row r="10" spans="1:8" ht="15.75" customHeight="1" x14ac:dyDescent="0.25">
      <c r="A10" s="32"/>
      <c r="B10" s="120">
        <v>22</v>
      </c>
      <c r="C10" s="288">
        <v>1.2517168147313698</v>
      </c>
      <c r="D10" s="289">
        <v>0.44300662472262614</v>
      </c>
      <c r="E10" s="289">
        <v>0.80140741311561092</v>
      </c>
      <c r="F10" s="289">
        <v>0.45560642689321895</v>
      </c>
      <c r="G10" s="289">
        <v>0.42513044336992678</v>
      </c>
      <c r="H10" s="290">
        <f>IF(Simulation!$D$11="Non",1,IF(AND($B10&gt;=Simulation!$D$12,$B10&lt;=Simulation!$D$13),0,1))</f>
        <v>1</v>
      </c>
    </row>
    <row r="11" spans="1:8" ht="15.75" customHeight="1" x14ac:dyDescent="0.25">
      <c r="A11" s="32"/>
      <c r="B11" s="120">
        <v>23</v>
      </c>
      <c r="C11" s="288">
        <v>1.2517168147313698</v>
      </c>
      <c r="D11" s="289">
        <v>0.54742218773357321</v>
      </c>
      <c r="E11" s="289">
        <v>0.80140741311561092</v>
      </c>
      <c r="F11" s="289">
        <v>0.56444349164906282</v>
      </c>
      <c r="G11" s="289">
        <v>0.52375771900198764</v>
      </c>
      <c r="H11" s="290">
        <f>IF(Simulation!$D$11="Non",1,IF(AND($B11&gt;=Simulation!$D$12,$B11&lt;=Simulation!$D$13),0,1))</f>
        <v>1</v>
      </c>
    </row>
    <row r="12" spans="1:8" ht="15.75" customHeight="1" x14ac:dyDescent="0.25">
      <c r="A12" s="32"/>
      <c r="B12" s="120">
        <v>24</v>
      </c>
      <c r="C12" s="288">
        <v>1.2517168147313698</v>
      </c>
      <c r="D12" s="289">
        <v>0.58473601903506922</v>
      </c>
      <c r="E12" s="289">
        <v>0.80140741311561092</v>
      </c>
      <c r="F12" s="289">
        <v>0.60481409488319637</v>
      </c>
      <c r="G12" s="289">
        <v>0.55754708959901245</v>
      </c>
      <c r="H12" s="290">
        <f>IF(Simulation!$D$11="Non",1,IF(AND($B12&gt;=Simulation!$D$12,$B12&lt;=Simulation!$D$13),0,1))</f>
        <v>1</v>
      </c>
    </row>
    <row r="13" spans="1:8" ht="15.75" customHeight="1" x14ac:dyDescent="0.25">
      <c r="A13" s="32"/>
      <c r="B13" s="120">
        <v>25</v>
      </c>
      <c r="C13" s="289">
        <v>1.2517168147313698</v>
      </c>
      <c r="D13" s="289">
        <v>0.612854379126058</v>
      </c>
      <c r="E13" s="289">
        <v>0.80140741311561092</v>
      </c>
      <c r="F13" s="289">
        <v>0.63566662873952084</v>
      </c>
      <c r="G13" s="289">
        <v>0.58254587597397089</v>
      </c>
      <c r="H13" s="290">
        <f>IF(Simulation!$D$11="Non",1,IF(AND($B13&gt;=Simulation!$D$12,$B13&lt;=Simulation!$D$13),0,1))</f>
        <v>1</v>
      </c>
    </row>
    <row r="14" spans="1:8" ht="15.75" customHeight="1" x14ac:dyDescent="0.25">
      <c r="A14" s="32"/>
      <c r="B14" s="120">
        <v>26</v>
      </c>
      <c r="C14" s="289">
        <v>1.3423928705129471</v>
      </c>
      <c r="D14" s="289">
        <v>0.65261130745615437</v>
      </c>
      <c r="E14" s="289">
        <v>0.80140741311561092</v>
      </c>
      <c r="F14" s="289">
        <v>0.67859149742644809</v>
      </c>
      <c r="G14" s="289">
        <v>0.61858273913555872</v>
      </c>
      <c r="H14" s="290">
        <f>IF(Simulation!$D$11="Non",1,IF(AND($B14&gt;=Simulation!$D$12,$B14&lt;=Simulation!$D$13),0,1))</f>
        <v>1</v>
      </c>
    </row>
    <row r="15" spans="1:8" ht="15.75" customHeight="1" x14ac:dyDescent="0.25">
      <c r="A15" s="32"/>
      <c r="B15" s="120">
        <v>27</v>
      </c>
      <c r="C15" s="289">
        <v>1.4357491766702153</v>
      </c>
      <c r="D15" s="289">
        <v>0.67997323909823593</v>
      </c>
      <c r="E15" s="289">
        <v>0.80140741311561092</v>
      </c>
      <c r="F15" s="289">
        <v>0.70862913625210633</v>
      </c>
      <c r="G15" s="289">
        <v>0.64284974626290148</v>
      </c>
      <c r="H15" s="290">
        <f>IF(Simulation!$D$11="Non",1,IF(AND($B15&gt;=Simulation!$D$12,$B15&lt;=Simulation!$D$13),0,1))</f>
        <v>1</v>
      </c>
    </row>
    <row r="16" spans="1:8" ht="15.75" customHeight="1" x14ac:dyDescent="0.25">
      <c r="A16" s="32"/>
      <c r="B16" s="120">
        <v>28</v>
      </c>
      <c r="C16" s="289">
        <v>1.5212264256105859</v>
      </c>
      <c r="D16" s="289">
        <v>0.70194413019780066</v>
      </c>
      <c r="E16" s="289">
        <v>0.80140741311561092</v>
      </c>
      <c r="F16" s="289">
        <v>0.73301136572549697</v>
      </c>
      <c r="G16" s="289">
        <v>0.66204279004696298</v>
      </c>
      <c r="H16" s="290">
        <f>IF(Simulation!$D$11="Non",1,IF(AND($B16&gt;=Simulation!$D$12,$B16&lt;=Simulation!$D$13),0,1))</f>
        <v>1</v>
      </c>
    </row>
    <row r="17" spans="1:8" ht="15.75" customHeight="1" x14ac:dyDescent="0.25">
      <c r="A17" s="32"/>
      <c r="B17" s="120">
        <v>29</v>
      </c>
      <c r="C17" s="289">
        <v>1.6289851662393162</v>
      </c>
      <c r="D17" s="289">
        <v>0.72940085023815382</v>
      </c>
      <c r="E17" s="289">
        <v>0.80140741311561092</v>
      </c>
      <c r="F17" s="289">
        <v>0.7616646182147867</v>
      </c>
      <c r="G17" s="289">
        <v>0.68817329890938206</v>
      </c>
      <c r="H17" s="290">
        <f>IF(Simulation!$D$11="Non",1,IF(AND($B17&gt;=Simulation!$D$12,$B17&lt;=Simulation!$D$13),0,1))</f>
        <v>1</v>
      </c>
    </row>
    <row r="18" spans="1:8" ht="15.75" customHeight="1" x14ac:dyDescent="0.25">
      <c r="A18" s="32"/>
      <c r="B18" s="120">
        <v>30</v>
      </c>
      <c r="C18" s="289">
        <v>1.7184694554001516</v>
      </c>
      <c r="D18" s="289">
        <v>0.75065836640911998</v>
      </c>
      <c r="E18" s="289">
        <v>0.80140741311561092</v>
      </c>
      <c r="F18" s="289">
        <v>0.78385131148258269</v>
      </c>
      <c r="G18" s="289">
        <v>0.70844710097068631</v>
      </c>
      <c r="H18" s="290">
        <f>IF(Simulation!$D$11="Non",1,IF(AND($B18&gt;=Simulation!$D$12,$B18&lt;=Simulation!$D$13),0,1))</f>
        <v>1</v>
      </c>
    </row>
    <row r="19" spans="1:8" ht="15.75" customHeight="1" x14ac:dyDescent="0.25">
      <c r="A19" s="32"/>
      <c r="B19" s="120">
        <v>31</v>
      </c>
      <c r="C19" s="289">
        <v>1.7912143338769806</v>
      </c>
      <c r="D19" s="289">
        <v>0.76226173183718404</v>
      </c>
      <c r="E19" s="289">
        <v>0.80140741311561092</v>
      </c>
      <c r="F19" s="289">
        <v>0.79596285943745315</v>
      </c>
      <c r="G19" s="289">
        <v>0.71959851839459188</v>
      </c>
      <c r="H19" s="290">
        <f>IF(Simulation!$D$11="Non",1,IF(AND($B19&gt;=Simulation!$D$12,$B19&lt;=Simulation!$D$13),0,1))</f>
        <v>1</v>
      </c>
    </row>
    <row r="20" spans="1:8" ht="15.75" customHeight="1" x14ac:dyDescent="0.25">
      <c r="A20" s="32"/>
      <c r="B20" s="120">
        <v>32</v>
      </c>
      <c r="C20" s="289">
        <v>1.8959595516588335</v>
      </c>
      <c r="D20" s="289">
        <v>0.78262796720065042</v>
      </c>
      <c r="E20" s="289">
        <v>0.80140741311561092</v>
      </c>
      <c r="F20" s="289">
        <v>0.81722959731509337</v>
      </c>
      <c r="G20" s="289">
        <v>0.73901235543659871</v>
      </c>
      <c r="H20" s="290">
        <f>IF(Simulation!$D$11="Non",1,IF(AND($B20&gt;=Simulation!$D$12,$B20&lt;=Simulation!$D$13),0,1))</f>
        <v>1</v>
      </c>
    </row>
    <row r="21" spans="1:8" ht="15.75" customHeight="1" x14ac:dyDescent="0.25">
      <c r="A21" s="32"/>
      <c r="B21" s="120">
        <v>33</v>
      </c>
      <c r="C21" s="289">
        <v>1.9793815266948078</v>
      </c>
      <c r="D21" s="289">
        <v>0.80715381802013186</v>
      </c>
      <c r="E21" s="289">
        <v>0.80140741311561092</v>
      </c>
      <c r="F21" s="289">
        <v>0.84284396165532538</v>
      </c>
      <c r="G21" s="289">
        <v>0.76234815763246067</v>
      </c>
      <c r="H21" s="290">
        <f>IF(Simulation!$D$11="Non",1,IF(AND($B21&gt;=Simulation!$D$12,$B21&lt;=Simulation!$D$13),0,1))</f>
        <v>1</v>
      </c>
    </row>
    <row r="22" spans="1:8" ht="15.75" customHeight="1" x14ac:dyDescent="0.25">
      <c r="A22" s="32"/>
      <c r="B22" s="120">
        <v>34</v>
      </c>
      <c r="C22" s="289">
        <v>2.0965569596701337</v>
      </c>
      <c r="D22" s="289">
        <v>0.83556533113357301</v>
      </c>
      <c r="E22" s="289">
        <v>0.80140741311561092</v>
      </c>
      <c r="F22" s="289">
        <v>0.87502979816062521</v>
      </c>
      <c r="G22" s="289">
        <v>0.78668484079285894</v>
      </c>
      <c r="H22" s="290">
        <f>IF(Simulation!$D$11="Non",1,IF(AND($B22&gt;=Simulation!$D$12,$B22&lt;=Simulation!$D$13),0,1))</f>
        <v>1</v>
      </c>
    </row>
    <row r="23" spans="1:8" ht="15.75" customHeight="1" x14ac:dyDescent="0.25">
      <c r="A23" s="32"/>
      <c r="B23" s="120">
        <v>35</v>
      </c>
      <c r="C23" s="289">
        <v>2.2382337355323112</v>
      </c>
      <c r="D23" s="289">
        <v>0.8565260678780553</v>
      </c>
      <c r="E23" s="289">
        <v>0.80140741311561092</v>
      </c>
      <c r="F23" s="289">
        <v>0.89938661048940283</v>
      </c>
      <c r="G23" s="289">
        <v>0.80403467528968853</v>
      </c>
      <c r="H23" s="290">
        <f>IF(Simulation!$D$11="Non",1,IF(AND($B23&gt;=Simulation!$D$12,$B23&lt;=Simulation!$D$13),0,1))</f>
        <v>1</v>
      </c>
    </row>
    <row r="24" spans="1:8" ht="15.75" customHeight="1" x14ac:dyDescent="0.25">
      <c r="A24" s="32"/>
      <c r="B24" s="120">
        <v>36</v>
      </c>
      <c r="C24" s="289">
        <v>2.2802910625994044</v>
      </c>
      <c r="D24" s="289">
        <v>0.86178111244438116</v>
      </c>
      <c r="E24" s="289">
        <v>0.80140741311561092</v>
      </c>
      <c r="F24" s="289">
        <v>0.9071673661005486</v>
      </c>
      <c r="G24" s="289">
        <v>0.80672662119421834</v>
      </c>
      <c r="H24" s="290">
        <f>IF(Simulation!$D$11="Non",1,IF(AND($B24&gt;=Simulation!$D$12,$B24&lt;=Simulation!$D$13),0,1))</f>
        <v>1</v>
      </c>
    </row>
    <row r="25" spans="1:8" ht="15.75" customHeight="1" x14ac:dyDescent="0.25">
      <c r="A25" s="32"/>
      <c r="B25" s="120">
        <v>37</v>
      </c>
      <c r="C25" s="289">
        <v>2.4315776895031385</v>
      </c>
      <c r="D25" s="289">
        <v>0.88964524279935475</v>
      </c>
      <c r="E25" s="289">
        <v>0.80140741311561092</v>
      </c>
      <c r="F25" s="289">
        <v>0.93868780939130303</v>
      </c>
      <c r="G25" s="289">
        <v>0.83064418555374342</v>
      </c>
      <c r="H25" s="290">
        <f>IF(Simulation!$D$11="Non",1,IF(AND($B25&gt;=Simulation!$D$12,$B25&lt;=Simulation!$D$13),0,1))</f>
        <v>1</v>
      </c>
    </row>
    <row r="26" spans="1:8" ht="15.75" customHeight="1" x14ac:dyDescent="0.25">
      <c r="A26" s="32"/>
      <c r="B26" s="120">
        <v>38</v>
      </c>
      <c r="C26" s="289">
        <v>2.4765836641286154</v>
      </c>
      <c r="D26" s="289">
        <v>0.89220827748138354</v>
      </c>
      <c r="E26" s="289">
        <v>0.80140741311561092</v>
      </c>
      <c r="F26" s="289">
        <v>0.9434538062522313</v>
      </c>
      <c r="G26" s="289">
        <v>0.83099775732262149</v>
      </c>
      <c r="H26" s="290">
        <f>IF(Simulation!$D$11="Non",1,IF(AND($B26&gt;=Simulation!$D$12,$B26&lt;=Simulation!$D$13),0,1))</f>
        <v>1</v>
      </c>
    </row>
    <row r="27" spans="1:8" ht="15.75" customHeight="1" x14ac:dyDescent="0.25">
      <c r="A27" s="32"/>
      <c r="B27" s="120">
        <v>39</v>
      </c>
      <c r="C27" s="289">
        <v>2.6320053717036447</v>
      </c>
      <c r="D27" s="289">
        <v>0.92112340856855413</v>
      </c>
      <c r="E27" s="289">
        <v>0.80140741311561092</v>
      </c>
      <c r="F27" s="289">
        <v>0.97785230508491539</v>
      </c>
      <c r="G27" s="289">
        <v>0.85474217068408476</v>
      </c>
      <c r="H27" s="290">
        <f>IF(Simulation!$D$11="Non",1,IF(AND($B27&gt;=Simulation!$D$12,$B27&lt;=Simulation!$D$13),0,1))</f>
        <v>1</v>
      </c>
    </row>
    <row r="28" spans="1:8" ht="15.75" customHeight="1" x14ac:dyDescent="0.25">
      <c r="A28" s="32"/>
      <c r="B28" s="120">
        <v>40</v>
      </c>
      <c r="C28" s="289">
        <v>2.5914788717264989</v>
      </c>
      <c r="D28" s="289">
        <v>0.91592242119736877</v>
      </c>
      <c r="E28" s="289">
        <v>0.80140741311561092</v>
      </c>
      <c r="F28" s="289">
        <v>0.97592002425713076</v>
      </c>
      <c r="G28" s="289">
        <v>0.84693325012709753</v>
      </c>
      <c r="H28" s="290">
        <f>IF(Simulation!$D$11="Non",1,IF(AND($B28&gt;=Simulation!$D$12,$B28&lt;=Simulation!$D$13),0,1))</f>
        <v>1</v>
      </c>
    </row>
    <row r="29" spans="1:8" ht="15.75" customHeight="1" x14ac:dyDescent="0.25">
      <c r="A29" s="32"/>
      <c r="B29" s="120">
        <v>41</v>
      </c>
      <c r="C29" s="289">
        <v>2.6522820551913182</v>
      </c>
      <c r="D29" s="289">
        <v>0.92318225956392397</v>
      </c>
      <c r="E29" s="289">
        <v>0.80140741311561092</v>
      </c>
      <c r="F29" s="289">
        <v>0.98707736538701352</v>
      </c>
      <c r="G29" s="289">
        <v>0.85081074897797049</v>
      </c>
      <c r="H29" s="290">
        <f>IF(Simulation!$D$11="Non",1,IF(AND($B29&gt;=Simulation!$D$12,$B29&lt;=Simulation!$D$13),0,1))</f>
        <v>1</v>
      </c>
    </row>
    <row r="30" spans="1:8" ht="15.75" customHeight="1" x14ac:dyDescent="0.25">
      <c r="A30" s="32"/>
      <c r="B30" s="120">
        <v>42</v>
      </c>
      <c r="C30" s="289">
        <v>2.6812058945716877</v>
      </c>
      <c r="D30" s="289">
        <v>0.92169958923397299</v>
      </c>
      <c r="E30" s="289">
        <v>0.80140741311561092</v>
      </c>
      <c r="F30" s="289">
        <v>0.9887293661959613</v>
      </c>
      <c r="G30" s="289">
        <v>0.84676916486036746</v>
      </c>
      <c r="H30" s="290">
        <f>IF(Simulation!$D$11="Non",1,IF(AND($B30&gt;=Simulation!$D$12,$B30&lt;=Simulation!$D$13),0,1))</f>
        <v>1</v>
      </c>
    </row>
    <row r="31" spans="1:8" ht="15.75" customHeight="1" x14ac:dyDescent="0.25">
      <c r="A31" s="32"/>
      <c r="B31" s="120">
        <v>43</v>
      </c>
      <c r="C31" s="289">
        <v>2.7496973560319145</v>
      </c>
      <c r="D31" s="289">
        <v>0.92504372571992133</v>
      </c>
      <c r="E31" s="289">
        <v>0.80140741311561092</v>
      </c>
      <c r="F31" s="289">
        <v>0.99540025261645049</v>
      </c>
      <c r="G31" s="289">
        <v>0.84729985328904278</v>
      </c>
      <c r="H31" s="290">
        <f>IF(Simulation!$D$11="Non",1,IF(AND($B31&gt;=Simulation!$D$12,$B31&lt;=Simulation!$D$13),0,1))</f>
        <v>1</v>
      </c>
    </row>
    <row r="32" spans="1:8" ht="15.75" customHeight="1" x14ac:dyDescent="0.25">
      <c r="A32" s="32"/>
      <c r="B32" s="120">
        <v>44</v>
      </c>
      <c r="C32" s="289">
        <v>2.7217186104220858</v>
      </c>
      <c r="D32" s="289">
        <v>0.92511653695182827</v>
      </c>
      <c r="E32" s="289">
        <v>0.80140741311561092</v>
      </c>
      <c r="F32" s="289">
        <v>0.9994260716199741</v>
      </c>
      <c r="G32" s="289">
        <v>0.84393752555027191</v>
      </c>
      <c r="H32" s="290">
        <f>IF(Simulation!$D$11="Non",1,IF(AND($B32&gt;=Simulation!$D$12,$B32&lt;=Simulation!$D$13),0,1))</f>
        <v>1</v>
      </c>
    </row>
    <row r="33" spans="1:8" ht="15.75" customHeight="1" x14ac:dyDescent="0.25">
      <c r="A33" s="32"/>
      <c r="B33" s="120">
        <v>45</v>
      </c>
      <c r="C33" s="289">
        <v>2.7692684462652464</v>
      </c>
      <c r="D33" s="289">
        <v>0.92759320420620861</v>
      </c>
      <c r="E33" s="289">
        <v>0.80140741311561092</v>
      </c>
      <c r="F33" s="289">
        <v>1.0058553601361795</v>
      </c>
      <c r="G33" s="289">
        <v>0.84295619241258357</v>
      </c>
      <c r="H33" s="290">
        <f>IF(Simulation!$D$11="Non",1,IF(AND($B33&gt;=Simulation!$D$12,$B33&lt;=Simulation!$D$13),0,1))</f>
        <v>1</v>
      </c>
    </row>
    <row r="34" spans="1:8" ht="15.75" customHeight="1" x14ac:dyDescent="0.25">
      <c r="A34" s="32"/>
      <c r="B34" s="120">
        <v>46</v>
      </c>
      <c r="C34" s="289">
        <v>2.8027006620766435</v>
      </c>
      <c r="D34" s="289">
        <v>0.93092234228290638</v>
      </c>
      <c r="E34" s="289">
        <v>0.80140741311561092</v>
      </c>
      <c r="F34" s="289">
        <v>1.0130443289381459</v>
      </c>
      <c r="G34" s="289">
        <v>0.8429095044700845</v>
      </c>
      <c r="H34" s="290">
        <f>IF(Simulation!$D$11="Non",1,IF(AND($B34&gt;=Simulation!$D$12,$B34&lt;=Simulation!$D$13),0,1))</f>
        <v>1</v>
      </c>
    </row>
    <row r="35" spans="1:8" ht="15.75" customHeight="1" x14ac:dyDescent="0.25">
      <c r="A35" s="32"/>
      <c r="B35" s="120">
        <v>47</v>
      </c>
      <c r="C35" s="289">
        <v>2.7990171990459047</v>
      </c>
      <c r="D35" s="289">
        <v>0.93536139408023689</v>
      </c>
      <c r="E35" s="289">
        <v>0.80140741311561092</v>
      </c>
      <c r="F35" s="289">
        <v>1.0212969166345887</v>
      </c>
      <c r="G35" s="289">
        <v>0.84400741795569001</v>
      </c>
      <c r="H35" s="290">
        <f>IF(Simulation!$D$11="Non",1,IF(AND($B35&gt;=Simulation!$D$12,$B35&lt;=Simulation!$D$13),0,1))</f>
        <v>1</v>
      </c>
    </row>
    <row r="36" spans="1:8" ht="15.75" customHeight="1" x14ac:dyDescent="0.25">
      <c r="A36" s="32"/>
      <c r="B36" s="120">
        <v>48</v>
      </c>
      <c r="C36" s="289">
        <v>2.8961662304268536</v>
      </c>
      <c r="D36" s="289">
        <v>0.95138193601349541</v>
      </c>
      <c r="E36" s="289">
        <v>0.80140741311561092</v>
      </c>
      <c r="F36" s="289">
        <v>1.0421064471526031</v>
      </c>
      <c r="G36" s="289">
        <v>0.85564568881450853</v>
      </c>
      <c r="H36" s="290">
        <f>IF(Simulation!$D$11="Non",1,IF(AND($B36&gt;=Simulation!$D$12,$B36&lt;=Simulation!$D$13),0,1))</f>
        <v>1</v>
      </c>
    </row>
    <row r="37" spans="1:8" ht="15.75" customHeight="1" x14ac:dyDescent="0.25">
      <c r="A37" s="32"/>
      <c r="B37" s="120">
        <v>49</v>
      </c>
      <c r="C37" s="289">
        <v>2.8734210377041163</v>
      </c>
      <c r="D37" s="289">
        <v>0.94794083500887916</v>
      </c>
      <c r="E37" s="289">
        <v>0.80140741311561092</v>
      </c>
      <c r="F37" s="289">
        <v>1.0418381265282268</v>
      </c>
      <c r="G37" s="289">
        <v>0.8508751482777247</v>
      </c>
      <c r="H37" s="290">
        <f>IF(Simulation!$D$11="Non",1,IF(AND($B37&gt;=Simulation!$D$12,$B37&lt;=Simulation!$D$13),0,1))</f>
        <v>1</v>
      </c>
    </row>
    <row r="38" spans="1:8" ht="15.75" customHeight="1" x14ac:dyDescent="0.25">
      <c r="A38" s="32"/>
      <c r="B38" s="120">
        <v>50</v>
      </c>
      <c r="C38" s="289">
        <v>2.882955025722342</v>
      </c>
      <c r="D38" s="289">
        <v>0.94534506106307925</v>
      </c>
      <c r="E38" s="289">
        <v>0.80140741311561092</v>
      </c>
      <c r="F38" s="289">
        <v>1.0423407726994565</v>
      </c>
      <c r="G38" s="289">
        <v>0.84693171739201922</v>
      </c>
      <c r="H38" s="290">
        <f>IF(Simulation!$D$11="Non",1,IF(AND($B38&gt;=Simulation!$D$12,$B38&lt;=Simulation!$D$13),0,1))</f>
        <v>1</v>
      </c>
    </row>
    <row r="39" spans="1:8" ht="15.75" customHeight="1" x14ac:dyDescent="0.25">
      <c r="A39" s="32"/>
      <c r="B39" s="120">
        <v>51</v>
      </c>
      <c r="C39" s="289">
        <v>2.9103695753851717</v>
      </c>
      <c r="D39" s="289">
        <v>0.94585611690026672</v>
      </c>
      <c r="E39" s="289">
        <v>0.80140741311561092</v>
      </c>
      <c r="F39" s="289">
        <v>1.0461339195792019</v>
      </c>
      <c r="G39" s="289">
        <v>0.84583000680230025</v>
      </c>
      <c r="H39" s="290">
        <f>IF(Simulation!$D$11="Non",1,IF(AND($B39&gt;=Simulation!$D$12,$B39&lt;=Simulation!$D$13),0,1))</f>
        <v>1</v>
      </c>
    </row>
    <row r="40" spans="1:8" ht="15.75" customHeight="1" x14ac:dyDescent="0.25">
      <c r="A40" s="32"/>
      <c r="B40" s="120">
        <v>52</v>
      </c>
      <c r="C40" s="289">
        <v>2.7852011146287272</v>
      </c>
      <c r="D40" s="289">
        <v>0.92994848413479358</v>
      </c>
      <c r="E40" s="289">
        <v>0.80140741311561092</v>
      </c>
      <c r="F40" s="289">
        <v>1.031596951009748</v>
      </c>
      <c r="G40" s="289">
        <v>0.83012244070412611</v>
      </c>
      <c r="H40" s="290">
        <f>IF(Simulation!$D$11="Non",1,IF(AND($B40&gt;=Simulation!$D$12,$B40&lt;=Simulation!$D$13),0,1))</f>
        <v>1</v>
      </c>
    </row>
    <row r="41" spans="1:8" ht="15.75" customHeight="1" x14ac:dyDescent="0.25">
      <c r="A41" s="32"/>
      <c r="B41" s="120">
        <v>53</v>
      </c>
      <c r="C41" s="289">
        <v>2.7943155312920438</v>
      </c>
      <c r="D41" s="289">
        <v>0.92808502408901328</v>
      </c>
      <c r="E41" s="289">
        <v>0.80140741311561092</v>
      </c>
      <c r="F41" s="289">
        <v>1.0324696702745924</v>
      </c>
      <c r="G41" s="289">
        <v>0.82702829883522455</v>
      </c>
      <c r="H41" s="290">
        <f>IF(Simulation!$D$11="Non",1,IF(AND($B41&gt;=Simulation!$D$12,$B41&lt;=Simulation!$D$13),0,1))</f>
        <v>1</v>
      </c>
    </row>
    <row r="42" spans="1:8" ht="15.75" customHeight="1" x14ac:dyDescent="0.25">
      <c r="A42" s="32"/>
      <c r="B42" s="120">
        <v>54</v>
      </c>
      <c r="C42" s="289">
        <v>2.7585538126578384</v>
      </c>
      <c r="D42" s="289">
        <v>0.91792300373348623</v>
      </c>
      <c r="E42" s="289">
        <v>0.80140741311561092</v>
      </c>
      <c r="F42" s="289">
        <v>1.0254074571012533</v>
      </c>
      <c r="G42" s="289">
        <v>0.81530906412371384</v>
      </c>
      <c r="H42" s="290">
        <f>IF(Simulation!$D$11="Non",1,IF(AND($B42&gt;=Simulation!$D$12,$B42&lt;=Simulation!$D$13),0,1))</f>
        <v>1</v>
      </c>
    </row>
    <row r="43" spans="1:8" ht="15.75" customHeight="1" x14ac:dyDescent="0.25">
      <c r="A43" s="32"/>
      <c r="B43" s="120">
        <v>55</v>
      </c>
      <c r="C43" s="289">
        <v>2.7570721186584284</v>
      </c>
      <c r="D43" s="289">
        <v>0.91842858418445827</v>
      </c>
      <c r="E43" s="289">
        <v>0.80140741311561092</v>
      </c>
      <c r="F43" s="289">
        <v>1.0300250608190533</v>
      </c>
      <c r="G43" s="289">
        <v>0.81321202134939408</v>
      </c>
      <c r="H43" s="290">
        <f>IF(Simulation!$D$11="Non",1,IF(AND($B43&gt;=Simulation!$D$12,$B43&lt;=Simulation!$D$13),0,1))</f>
        <v>1</v>
      </c>
    </row>
    <row r="44" spans="1:8" ht="15.75" customHeight="1" x14ac:dyDescent="0.25">
      <c r="A44" s="32"/>
      <c r="B44" s="120">
        <v>56</v>
      </c>
      <c r="C44" s="289">
        <v>2.7049285238883805</v>
      </c>
      <c r="D44" s="289">
        <v>0.90105864759146848</v>
      </c>
      <c r="E44" s="289">
        <v>0.80140741311561092</v>
      </c>
      <c r="F44" s="289">
        <v>1.014344980881895</v>
      </c>
      <c r="G44" s="289">
        <v>0.79544302183041549</v>
      </c>
      <c r="H44" s="290">
        <f>IF(Simulation!$D$11="Non",1,IF(AND($B44&gt;=Simulation!$D$12,$B44&lt;=Simulation!$D$13),0,1))</f>
        <v>1</v>
      </c>
    </row>
    <row r="45" spans="1:8" ht="15.75" customHeight="1" x14ac:dyDescent="0.25">
      <c r="A45" s="32"/>
      <c r="B45" s="120">
        <v>57</v>
      </c>
      <c r="C45" s="289">
        <v>2.7315985660187079</v>
      </c>
      <c r="D45" s="289">
        <v>0.90994290160444147</v>
      </c>
      <c r="E45" s="289">
        <v>0.80140741311561092</v>
      </c>
      <c r="F45" s="289">
        <v>1.028018518278613</v>
      </c>
      <c r="G45" s="289">
        <v>0.80097617748140093</v>
      </c>
      <c r="H45" s="290">
        <f>IF(Simulation!$D$11="Non",1,IF(AND($B45&gt;=Simulation!$D$12,$B45&lt;=Simulation!$D$13),0,1))</f>
        <v>1</v>
      </c>
    </row>
    <row r="46" spans="1:8" ht="15.75" customHeight="1" x14ac:dyDescent="0.25">
      <c r="A46" s="32"/>
      <c r="B46" s="120">
        <v>58</v>
      </c>
      <c r="C46" s="289">
        <v>2.7522381230614723</v>
      </c>
      <c r="D46" s="289">
        <v>0.91681829634836831</v>
      </c>
      <c r="E46" s="289">
        <v>0.80140741311561092</v>
      </c>
      <c r="F46" s="289">
        <v>1.0393301376470674</v>
      </c>
      <c r="G46" s="289">
        <v>0.80479794630225232</v>
      </c>
      <c r="H46" s="290">
        <f>IF(Simulation!$D$11="Non",1,IF(AND($B46&gt;=Simulation!$D$12,$B46&lt;=Simulation!$D$13),0,1))</f>
        <v>1</v>
      </c>
    </row>
    <row r="47" spans="1:8" ht="15.75" customHeight="1" x14ac:dyDescent="0.25">
      <c r="A47" s="32"/>
      <c r="B47" s="120">
        <v>59</v>
      </c>
      <c r="C47" s="289">
        <v>2.7546104301180794</v>
      </c>
      <c r="D47" s="289">
        <v>0.91760855301105659</v>
      </c>
      <c r="E47" s="289">
        <v>0.80140741311561092</v>
      </c>
      <c r="F47" s="289">
        <v>1.0402259940771579</v>
      </c>
      <c r="G47" s="289">
        <v>0.80549164639715265</v>
      </c>
      <c r="H47" s="290">
        <f>IF(Simulation!$D$11="Non",1,IF(AND($B47&gt;=Simulation!$D$12,$B47&lt;=Simulation!$D$13),0,1))</f>
        <v>1</v>
      </c>
    </row>
    <row r="48" spans="1:8" ht="15.75" customHeight="1" x14ac:dyDescent="0.25">
      <c r="A48" s="32"/>
      <c r="B48" s="120">
        <v>60</v>
      </c>
      <c r="C48" s="289">
        <v>2.739861947193527</v>
      </c>
      <c r="D48" s="289">
        <v>0.92</v>
      </c>
      <c r="E48" s="289">
        <v>0.80140741311561092</v>
      </c>
      <c r="F48" s="289">
        <v>1.0429370033775764</v>
      </c>
      <c r="G48" s="289">
        <v>0.80759089728804134</v>
      </c>
      <c r="H48" s="290">
        <f>IF(Simulation!$D$11="Non",1,IF(AND($B48&gt;=Simulation!$D$12,$B48&lt;=Simulation!$D$13),0,1))</f>
        <v>1</v>
      </c>
    </row>
    <row r="49" spans="1:8" ht="15.75" customHeight="1" x14ac:dyDescent="0.25">
      <c r="A49" s="32"/>
      <c r="B49" s="120">
        <v>61</v>
      </c>
      <c r="C49" s="289">
        <v>2.739861947193527</v>
      </c>
      <c r="D49" s="289">
        <v>0.92</v>
      </c>
      <c r="E49" s="289">
        <v>0.80140741311561092</v>
      </c>
      <c r="F49" s="289">
        <v>1.0429370033775764</v>
      </c>
      <c r="G49" s="289">
        <v>0.80759089728804134</v>
      </c>
      <c r="H49" s="290">
        <f>IF(Simulation!$D$11="Non",1,IF(AND($B49&gt;=Simulation!$D$12,$B49&lt;=Simulation!$D$13),0,1))</f>
        <v>1</v>
      </c>
    </row>
    <row r="50" spans="1:8" ht="15.75" customHeight="1" x14ac:dyDescent="0.25">
      <c r="A50" s="32"/>
      <c r="B50" s="120">
        <v>62</v>
      </c>
      <c r="C50" s="289">
        <v>2.739861947193527</v>
      </c>
      <c r="D50" s="289">
        <v>0.92</v>
      </c>
      <c r="E50" s="289">
        <v>0.80140741311561092</v>
      </c>
      <c r="F50" s="289">
        <v>1.0429370033775764</v>
      </c>
      <c r="G50" s="289">
        <v>0.80759089728804134</v>
      </c>
      <c r="H50" s="290">
        <f>IF(Simulation!$D$11="Non",1,IF(AND($B50&gt;=Simulation!$D$12,$B50&lt;=Simulation!$D$13),0,1))</f>
        <v>1</v>
      </c>
    </row>
    <row r="51" spans="1:8" ht="15.75" customHeight="1" x14ac:dyDescent="0.25">
      <c r="A51" s="32"/>
      <c r="B51" s="120">
        <v>63</v>
      </c>
      <c r="C51" s="289">
        <v>2.739861947193527</v>
      </c>
      <c r="D51" s="289">
        <v>0.92</v>
      </c>
      <c r="E51" s="289">
        <v>0.80140741311561092</v>
      </c>
      <c r="F51" s="289">
        <v>1.0429370033775764</v>
      </c>
      <c r="G51" s="289">
        <v>0.80759089728804134</v>
      </c>
      <c r="H51" s="290">
        <f>IF(Simulation!$D$11="Non",1,IF(AND($B51&gt;=Simulation!$D$12,$B51&lt;=Simulation!$D$13),0,1))</f>
        <v>1</v>
      </c>
    </row>
    <row r="52" spans="1:8" ht="15.75" customHeight="1" x14ac:dyDescent="0.25">
      <c r="A52" s="32"/>
      <c r="B52" s="120">
        <v>64</v>
      </c>
      <c r="C52" s="289">
        <v>2.739861947193527</v>
      </c>
      <c r="D52" s="289">
        <v>0.92</v>
      </c>
      <c r="E52" s="289">
        <v>0.80140741311561092</v>
      </c>
      <c r="F52" s="289">
        <v>1.0429370033775764</v>
      </c>
      <c r="G52" s="289">
        <v>0.80759089728804134</v>
      </c>
      <c r="H52" s="290">
        <f>IF(Simulation!$D$11="Non",1,IF(AND($B52&gt;=Simulation!$D$12,$B52&lt;=Simulation!$D$13),0,1))</f>
        <v>1</v>
      </c>
    </row>
    <row r="53" spans="1:8" ht="15.75" customHeight="1" x14ac:dyDescent="0.25">
      <c r="A53" s="32"/>
      <c r="B53" s="120">
        <v>65</v>
      </c>
      <c r="C53" s="289">
        <v>2.739861947193527</v>
      </c>
      <c r="D53" s="289">
        <v>0.92</v>
      </c>
      <c r="E53" s="289">
        <v>0.80140741311561092</v>
      </c>
      <c r="F53" s="289">
        <v>1.0429370033775764</v>
      </c>
      <c r="G53" s="289">
        <v>0.80759089728804134</v>
      </c>
      <c r="H53" s="290">
        <f>IF(Simulation!$D$11="Non",1,IF(AND($B53&gt;=Simulation!$D$12,$B53&lt;=Simulation!$D$13),0,1))</f>
        <v>1</v>
      </c>
    </row>
    <row r="54" spans="1:8" ht="15.75" customHeight="1" x14ac:dyDescent="0.25">
      <c r="A54" s="32"/>
      <c r="B54" s="120">
        <v>66</v>
      </c>
      <c r="C54" s="289">
        <v>2.739861947193527</v>
      </c>
      <c r="D54" s="289">
        <v>0.92</v>
      </c>
      <c r="E54" s="289">
        <v>0.80140741311561092</v>
      </c>
      <c r="F54" s="289">
        <v>1.0429370033775764</v>
      </c>
      <c r="G54" s="289">
        <v>0.80759089728804134</v>
      </c>
      <c r="H54" s="290">
        <f>IF(Simulation!$D$11="Non",1,IF(AND($B54&gt;=Simulation!$D$12,$B54&lt;=Simulation!$D$13),0,1))</f>
        <v>1</v>
      </c>
    </row>
    <row r="55" spans="1:8" ht="15.75" customHeight="1" thickBot="1" x14ac:dyDescent="0.3">
      <c r="A55" s="32"/>
      <c r="B55" s="291">
        <v>67</v>
      </c>
      <c r="C55" s="292">
        <v>2.739861947193527</v>
      </c>
      <c r="D55" s="292">
        <v>0.92</v>
      </c>
      <c r="E55" s="292">
        <v>0.80140741311561092</v>
      </c>
      <c r="F55" s="292">
        <v>1.0429370033775764</v>
      </c>
      <c r="G55" s="292">
        <v>0.80759089728804134</v>
      </c>
      <c r="H55" s="293">
        <f>IF(Simulation!$D$11="Non",1,IF(AND($B55&gt;=Simulation!$D$12,$B55&lt;=Simulation!$D$13),0,1))</f>
        <v>1</v>
      </c>
    </row>
    <row r="56" spans="1:8" ht="15.75" customHeight="1" x14ac:dyDescent="0.25">
      <c r="A56" s="32"/>
    </row>
    <row r="57" spans="1:8" ht="15.75" customHeight="1" x14ac:dyDescent="0.25">
      <c r="A57" s="32"/>
    </row>
    <row r="58" spans="1:8" ht="15.75" customHeight="1" x14ac:dyDescent="0.25">
      <c r="A58" s="32"/>
    </row>
    <row r="59" spans="1:8" ht="15.75" customHeight="1" x14ac:dyDescent="0.25">
      <c r="A59" s="32"/>
    </row>
    <row r="60" spans="1:8" ht="15.75" customHeight="1" x14ac:dyDescent="0.25">
      <c r="A60" s="32"/>
    </row>
    <row r="61" spans="1:8" ht="15.75" customHeight="1" x14ac:dyDescent="0.25">
      <c r="A61" s="32"/>
    </row>
    <row r="62" spans="1:8" ht="15.75" customHeight="1" x14ac:dyDescent="0.25">
      <c r="A62" s="32"/>
    </row>
    <row r="63" spans="1:8" ht="15.75" customHeight="1" x14ac:dyDescent="0.25">
      <c r="A63" s="32"/>
    </row>
    <row r="64" spans="1:8" ht="15.75" customHeight="1" x14ac:dyDescent="0.25">
      <c r="A64" s="32"/>
    </row>
    <row r="65" spans="1:1" ht="15.75" customHeight="1" x14ac:dyDescent="0.25">
      <c r="A65" s="32"/>
    </row>
    <row r="166" spans="2:8" s="40" customFormat="1" ht="15.75" customHeight="1" x14ac:dyDescent="0.25">
      <c r="B166" s="39"/>
      <c r="C166" s="39"/>
      <c r="D166" s="39"/>
      <c r="E166" s="39"/>
      <c r="F166" s="39"/>
      <c r="G166" s="39"/>
      <c r="H166" s="39"/>
    </row>
    <row r="167" spans="2:8" s="40" customFormat="1" ht="15.75" customHeight="1" x14ac:dyDescent="0.25">
      <c r="B167" s="39"/>
      <c r="C167" s="39"/>
      <c r="D167" s="39"/>
      <c r="E167" s="39"/>
      <c r="F167" s="39"/>
      <c r="G167" s="39"/>
      <c r="H167" s="39"/>
    </row>
    <row r="168" spans="2:8" s="40" customFormat="1" ht="15.75" customHeight="1" x14ac:dyDescent="0.25">
      <c r="B168" s="39"/>
      <c r="C168" s="39"/>
      <c r="D168" s="39"/>
      <c r="E168" s="39"/>
      <c r="F168" s="39"/>
      <c r="G168" s="39"/>
      <c r="H168" s="39"/>
    </row>
    <row r="169" spans="2:8" s="40" customFormat="1" ht="15.75" customHeight="1" x14ac:dyDescent="0.25">
      <c r="B169" s="39"/>
      <c r="C169" s="39"/>
      <c r="D169" s="39"/>
      <c r="E169" s="39"/>
      <c r="F169" s="39"/>
      <c r="G169" s="39"/>
      <c r="H169" s="39"/>
    </row>
    <row r="170" spans="2:8" s="40" customFormat="1" ht="15.75" customHeight="1" x14ac:dyDescent="0.25">
      <c r="B170" s="39"/>
      <c r="C170" s="39"/>
      <c r="D170" s="39"/>
      <c r="E170" s="39"/>
      <c r="F170" s="39"/>
      <c r="G170" s="39"/>
      <c r="H170" s="39"/>
    </row>
    <row r="171" spans="2:8" s="40" customFormat="1" ht="15.75" customHeight="1" x14ac:dyDescent="0.25">
      <c r="B171" s="39"/>
      <c r="C171" s="39"/>
      <c r="D171" s="39"/>
      <c r="E171" s="39"/>
      <c r="F171" s="39"/>
      <c r="G171" s="39"/>
      <c r="H171" s="39"/>
    </row>
    <row r="172" spans="2:8" s="40" customFormat="1" ht="15.75" customHeight="1" x14ac:dyDescent="0.25">
      <c r="B172" s="39"/>
      <c r="C172" s="39"/>
      <c r="D172" s="39"/>
      <c r="E172" s="39"/>
      <c r="F172" s="39"/>
      <c r="G172" s="39"/>
      <c r="H172" s="39"/>
    </row>
    <row r="173" spans="2:8" s="40" customFormat="1" ht="15.75" customHeight="1" x14ac:dyDescent="0.25">
      <c r="B173" s="39"/>
      <c r="C173" s="39"/>
      <c r="D173" s="39"/>
      <c r="E173" s="39"/>
      <c r="F173" s="39"/>
      <c r="G173" s="39"/>
      <c r="H173" s="39"/>
    </row>
    <row r="174" spans="2:8" s="40" customFormat="1" ht="15.75" customHeight="1" x14ac:dyDescent="0.25">
      <c r="B174" s="39"/>
      <c r="C174" s="39"/>
      <c r="D174" s="39"/>
      <c r="E174" s="39"/>
      <c r="F174" s="39"/>
      <c r="G174" s="39"/>
      <c r="H174" s="39"/>
    </row>
    <row r="175" spans="2:8" s="40" customFormat="1" ht="15.75" customHeight="1" x14ac:dyDescent="0.25">
      <c r="B175" s="39"/>
      <c r="C175" s="39"/>
      <c r="D175" s="39"/>
      <c r="E175" s="39"/>
      <c r="F175" s="39"/>
      <c r="G175" s="39"/>
      <c r="H175" s="39"/>
    </row>
    <row r="176" spans="2:8" s="40" customFormat="1" ht="15.75" customHeight="1" x14ac:dyDescent="0.25">
      <c r="B176" s="39"/>
      <c r="C176" s="39"/>
      <c r="D176" s="39"/>
      <c r="E176" s="39"/>
      <c r="F176" s="39"/>
      <c r="G176" s="39"/>
      <c r="H176" s="39"/>
    </row>
    <row r="177" spans="2:8" s="40" customFormat="1" ht="15.75" customHeight="1" x14ac:dyDescent="0.25">
      <c r="B177" s="39"/>
      <c r="C177" s="39"/>
      <c r="D177" s="39"/>
      <c r="E177" s="39"/>
      <c r="F177" s="39"/>
      <c r="G177" s="39"/>
      <c r="H177" s="39"/>
    </row>
    <row r="178" spans="2:8" s="40" customFormat="1" ht="15.75" customHeight="1" x14ac:dyDescent="0.25">
      <c r="B178" s="39"/>
      <c r="C178" s="39"/>
      <c r="D178" s="39"/>
      <c r="E178" s="39"/>
      <c r="F178" s="39"/>
      <c r="G178" s="39"/>
      <c r="H178" s="39"/>
    </row>
    <row r="179" spans="2:8" s="40" customFormat="1" ht="15.75" customHeight="1" x14ac:dyDescent="0.25">
      <c r="B179" s="39"/>
      <c r="C179" s="39"/>
      <c r="D179" s="39"/>
      <c r="E179" s="39"/>
      <c r="F179" s="39"/>
      <c r="G179" s="39"/>
      <c r="H179" s="39"/>
    </row>
    <row r="180" spans="2:8" s="40" customFormat="1" ht="15.75" customHeight="1" x14ac:dyDescent="0.25">
      <c r="B180" s="39"/>
      <c r="C180" s="39"/>
      <c r="D180" s="39"/>
      <c r="E180" s="39"/>
      <c r="F180" s="39"/>
      <c r="G180" s="39"/>
      <c r="H180" s="39"/>
    </row>
    <row r="181" spans="2:8" s="40" customFormat="1" ht="15.75" customHeight="1" x14ac:dyDescent="0.25">
      <c r="B181" s="39"/>
      <c r="C181" s="39"/>
      <c r="D181" s="39"/>
      <c r="E181" s="39"/>
      <c r="F181" s="39"/>
      <c r="G181" s="39"/>
      <c r="H181" s="39"/>
    </row>
    <row r="182" spans="2:8" s="40" customFormat="1" ht="15.75" customHeight="1" x14ac:dyDescent="0.25">
      <c r="B182" s="39"/>
      <c r="C182" s="39"/>
      <c r="D182" s="39"/>
      <c r="E182" s="39"/>
      <c r="F182" s="39"/>
      <c r="G182" s="39"/>
      <c r="H182" s="39"/>
    </row>
    <row r="183" spans="2:8" s="40" customFormat="1" ht="15.75" customHeight="1" x14ac:dyDescent="0.25">
      <c r="B183" s="39"/>
      <c r="C183" s="39"/>
      <c r="D183" s="39"/>
      <c r="E183" s="39"/>
      <c r="F183" s="39"/>
      <c r="G183" s="39"/>
      <c r="H183" s="39"/>
    </row>
    <row r="184" spans="2:8" s="40" customFormat="1" ht="15.75" customHeight="1" x14ac:dyDescent="0.25">
      <c r="B184" s="39"/>
      <c r="C184" s="39"/>
      <c r="D184" s="39"/>
      <c r="E184" s="39"/>
      <c r="F184" s="39"/>
      <c r="G184" s="39"/>
      <c r="H184" s="39"/>
    </row>
    <row r="185" spans="2:8" s="40" customFormat="1" ht="15.75" customHeight="1" x14ac:dyDescent="0.25">
      <c r="B185" s="39"/>
      <c r="C185" s="39"/>
      <c r="D185" s="39"/>
      <c r="E185" s="39"/>
      <c r="F185" s="39"/>
      <c r="G185" s="39"/>
      <c r="H185" s="39"/>
    </row>
    <row r="186" spans="2:8" s="40" customFormat="1" ht="15.75" customHeight="1" x14ac:dyDescent="0.25">
      <c r="B186" s="39"/>
      <c r="C186" s="39"/>
      <c r="D186" s="39"/>
      <c r="E186" s="39"/>
      <c r="F186" s="39"/>
      <c r="G186" s="39"/>
      <c r="H186" s="39"/>
    </row>
    <row r="187" spans="2:8" s="40" customFormat="1" ht="15.75" customHeight="1" x14ac:dyDescent="0.25">
      <c r="B187" s="39"/>
      <c r="C187" s="39"/>
      <c r="D187" s="39"/>
      <c r="E187" s="39"/>
      <c r="F187" s="39"/>
      <c r="G187" s="39"/>
      <c r="H187" s="39"/>
    </row>
    <row r="188" spans="2:8" s="40" customFormat="1" ht="15.75" customHeight="1" x14ac:dyDescent="0.25">
      <c r="B188" s="39"/>
      <c r="C188" s="39"/>
      <c r="D188" s="39"/>
      <c r="E188" s="39"/>
      <c r="F188" s="39"/>
      <c r="G188" s="39"/>
      <c r="H188" s="39"/>
    </row>
    <row r="189" spans="2:8" s="40" customFormat="1" ht="15.75" customHeight="1" x14ac:dyDescent="0.25">
      <c r="B189" s="39"/>
      <c r="C189" s="39"/>
      <c r="D189" s="39"/>
      <c r="E189" s="39"/>
      <c r="F189" s="39"/>
      <c r="G189" s="39"/>
      <c r="H189" s="39"/>
    </row>
    <row r="190" spans="2:8" s="40" customFormat="1" ht="15.75" customHeight="1" x14ac:dyDescent="0.25">
      <c r="B190" s="39"/>
      <c r="C190" s="39"/>
      <c r="D190" s="39"/>
      <c r="E190" s="39"/>
      <c r="F190" s="39"/>
      <c r="G190" s="39"/>
      <c r="H190" s="39"/>
    </row>
    <row r="191" spans="2:8" s="40" customFormat="1" ht="15.75" customHeight="1" x14ac:dyDescent="0.25">
      <c r="B191" s="39"/>
      <c r="C191" s="39"/>
      <c r="D191" s="39"/>
      <c r="E191" s="39"/>
      <c r="F191" s="39"/>
      <c r="G191" s="39"/>
      <c r="H191" s="39"/>
    </row>
    <row r="192" spans="2:8" s="40" customFormat="1" ht="15.75" customHeight="1" x14ac:dyDescent="0.25">
      <c r="B192" s="39"/>
      <c r="C192" s="39"/>
      <c r="D192" s="39"/>
      <c r="E192" s="39"/>
      <c r="F192" s="39"/>
      <c r="G192" s="39"/>
      <c r="H192" s="39"/>
    </row>
    <row r="193" spans="2:8" s="40" customFormat="1" ht="15.75" customHeight="1" x14ac:dyDescent="0.25">
      <c r="B193" s="39"/>
      <c r="C193" s="39"/>
      <c r="D193" s="39"/>
      <c r="E193" s="39"/>
      <c r="F193" s="39"/>
      <c r="G193" s="39"/>
      <c r="H193" s="39"/>
    </row>
    <row r="194" spans="2:8" s="40" customFormat="1" ht="15.75" customHeight="1" x14ac:dyDescent="0.25">
      <c r="B194" s="39"/>
      <c r="C194" s="39"/>
      <c r="D194" s="39"/>
      <c r="E194" s="39"/>
      <c r="F194" s="39"/>
      <c r="G194" s="39"/>
      <c r="H194" s="39"/>
    </row>
    <row r="195" spans="2:8" s="40" customFormat="1" ht="15.75" customHeight="1" x14ac:dyDescent="0.25">
      <c r="B195" s="39"/>
      <c r="C195" s="39"/>
      <c r="D195" s="39"/>
      <c r="E195" s="39"/>
      <c r="F195" s="39"/>
      <c r="G195" s="39"/>
      <c r="H195" s="39"/>
    </row>
    <row r="196" spans="2:8" s="40" customFormat="1" ht="15.75" customHeight="1" x14ac:dyDescent="0.25">
      <c r="B196" s="39"/>
      <c r="C196" s="39"/>
      <c r="D196" s="39"/>
      <c r="E196" s="39"/>
      <c r="F196" s="39"/>
      <c r="G196" s="39"/>
      <c r="H196" s="39"/>
    </row>
    <row r="197" spans="2:8" s="40" customFormat="1" ht="15.75" customHeight="1" x14ac:dyDescent="0.25">
      <c r="B197" s="39"/>
      <c r="C197" s="39"/>
      <c r="D197" s="39"/>
      <c r="E197" s="39"/>
      <c r="F197" s="39"/>
      <c r="G197" s="39"/>
      <c r="H197" s="39"/>
    </row>
    <row r="198" spans="2:8" s="40" customFormat="1" ht="15.75" customHeight="1" x14ac:dyDescent="0.25">
      <c r="B198" s="39"/>
      <c r="C198" s="39"/>
      <c r="D198" s="39"/>
      <c r="E198" s="39"/>
      <c r="F198" s="39"/>
      <c r="G198" s="39"/>
      <c r="H198" s="39"/>
    </row>
    <row r="199" spans="2:8" s="40" customFormat="1" ht="15.75" customHeight="1" x14ac:dyDescent="0.25">
      <c r="B199" s="39"/>
      <c r="C199" s="39"/>
      <c r="D199" s="39"/>
      <c r="E199" s="39"/>
      <c r="F199" s="39"/>
      <c r="G199" s="39"/>
      <c r="H199" s="39"/>
    </row>
    <row r="200" spans="2:8" s="40" customFormat="1" ht="15.75" customHeight="1" x14ac:dyDescent="0.25">
      <c r="B200" s="39"/>
      <c r="C200" s="39"/>
      <c r="D200" s="39"/>
      <c r="E200" s="39"/>
      <c r="F200" s="39"/>
      <c r="G200" s="39"/>
      <c r="H200" s="39"/>
    </row>
    <row r="201" spans="2:8" s="40" customFormat="1" ht="15.75" customHeight="1" x14ac:dyDescent="0.25">
      <c r="B201" s="39"/>
      <c r="C201" s="39"/>
      <c r="D201" s="39"/>
      <c r="E201" s="39"/>
      <c r="F201" s="39"/>
      <c r="G201" s="39"/>
      <c r="H201" s="39"/>
    </row>
    <row r="202" spans="2:8" s="40" customFormat="1" ht="15.75" customHeight="1" x14ac:dyDescent="0.25">
      <c r="B202" s="39"/>
      <c r="C202" s="39"/>
      <c r="D202" s="39"/>
      <c r="E202" s="39"/>
      <c r="F202" s="39"/>
      <c r="G202" s="39"/>
      <c r="H202" s="39"/>
    </row>
    <row r="203" spans="2:8" s="40" customFormat="1" ht="15.75" customHeight="1" x14ac:dyDescent="0.25">
      <c r="B203" s="39"/>
      <c r="C203" s="39"/>
      <c r="D203" s="39"/>
      <c r="E203" s="39"/>
      <c r="F203" s="39"/>
      <c r="G203" s="39"/>
      <c r="H203" s="39"/>
    </row>
    <row r="204" spans="2:8" s="40" customFormat="1" ht="15.75" customHeight="1" x14ac:dyDescent="0.25">
      <c r="B204" s="39"/>
      <c r="C204" s="39"/>
      <c r="D204" s="39"/>
      <c r="E204" s="39"/>
      <c r="F204" s="39"/>
      <c r="G204" s="39"/>
      <c r="H204" s="39"/>
    </row>
    <row r="205" spans="2:8" s="40" customFormat="1" ht="15.75" customHeight="1" x14ac:dyDescent="0.25">
      <c r="B205" s="39"/>
      <c r="C205" s="39"/>
      <c r="D205" s="39"/>
      <c r="E205" s="39"/>
      <c r="F205" s="39"/>
      <c r="G205" s="39"/>
      <c r="H205" s="39"/>
    </row>
    <row r="206" spans="2:8" s="40" customFormat="1" ht="15.75" customHeight="1" x14ac:dyDescent="0.25">
      <c r="B206" s="39"/>
      <c r="C206" s="39"/>
      <c r="D206" s="39"/>
      <c r="E206" s="39"/>
      <c r="F206" s="39"/>
      <c r="G206" s="39"/>
      <c r="H206" s="39"/>
    </row>
    <row r="207" spans="2:8" s="40" customFormat="1" ht="15.75" customHeight="1" x14ac:dyDescent="0.25">
      <c r="B207" s="39"/>
      <c r="C207" s="39"/>
      <c r="D207" s="39"/>
      <c r="E207" s="39"/>
      <c r="F207" s="39"/>
      <c r="G207" s="39"/>
      <c r="H207" s="39"/>
    </row>
    <row r="208" spans="2:8" s="40" customFormat="1" ht="15.75" customHeight="1" x14ac:dyDescent="0.25">
      <c r="B208" s="39"/>
      <c r="C208" s="39"/>
      <c r="D208" s="39"/>
      <c r="E208" s="39"/>
      <c r="F208" s="39"/>
      <c r="G208" s="39"/>
      <c r="H208" s="39"/>
    </row>
    <row r="209" spans="2:8" s="40" customFormat="1" ht="15.75" customHeight="1" x14ac:dyDescent="0.25">
      <c r="B209" s="39"/>
      <c r="C209" s="39"/>
      <c r="D209" s="39"/>
      <c r="E209" s="39"/>
      <c r="F209" s="39"/>
      <c r="G209" s="39"/>
      <c r="H209" s="39"/>
    </row>
    <row r="210" spans="2:8" s="40" customFormat="1" ht="15.75" customHeight="1" x14ac:dyDescent="0.25">
      <c r="B210" s="39"/>
      <c r="C210" s="39"/>
      <c r="D210" s="39"/>
      <c r="E210" s="39"/>
      <c r="F210" s="39"/>
      <c r="G210" s="39"/>
      <c r="H210" s="39"/>
    </row>
    <row r="211" spans="2:8" s="40" customFormat="1" ht="15.75" customHeight="1" x14ac:dyDescent="0.25">
      <c r="B211" s="39"/>
      <c r="C211" s="39"/>
      <c r="D211" s="39"/>
      <c r="E211" s="39"/>
      <c r="F211" s="39"/>
      <c r="G211" s="39"/>
      <c r="H211" s="39"/>
    </row>
    <row r="212" spans="2:8" s="40" customFormat="1" ht="15.75" customHeight="1" x14ac:dyDescent="0.25">
      <c r="B212" s="39"/>
      <c r="C212" s="39"/>
      <c r="D212" s="39"/>
      <c r="E212" s="39"/>
      <c r="F212" s="39"/>
      <c r="G212" s="39"/>
      <c r="H212" s="39"/>
    </row>
    <row r="213" spans="2:8" s="40" customFormat="1" ht="15.75" customHeight="1" x14ac:dyDescent="0.25">
      <c r="B213" s="39"/>
      <c r="C213" s="39"/>
      <c r="D213" s="39"/>
      <c r="E213" s="39"/>
      <c r="F213" s="39"/>
      <c r="G213" s="39"/>
      <c r="H213" s="39"/>
    </row>
    <row r="214" spans="2:8" s="40" customFormat="1" ht="15.75" customHeight="1" x14ac:dyDescent="0.25">
      <c r="B214" s="39"/>
      <c r="C214" s="39"/>
      <c r="D214" s="39"/>
      <c r="E214" s="39"/>
      <c r="F214" s="39"/>
      <c r="G214" s="39"/>
      <c r="H214" s="39"/>
    </row>
    <row r="215" spans="2:8" s="40" customFormat="1" ht="15.75" customHeight="1" x14ac:dyDescent="0.25">
      <c r="B215" s="39"/>
      <c r="C215" s="39"/>
      <c r="D215" s="39"/>
      <c r="E215" s="39"/>
      <c r="F215" s="39"/>
      <c r="G215" s="39"/>
      <c r="H215" s="39"/>
    </row>
    <row r="216" spans="2:8" s="40" customFormat="1" ht="15.75" customHeight="1" x14ac:dyDescent="0.25">
      <c r="B216" s="39"/>
      <c r="C216" s="39"/>
      <c r="D216" s="39"/>
      <c r="E216" s="39"/>
      <c r="F216" s="39"/>
      <c r="G216" s="39"/>
      <c r="H216" s="39"/>
    </row>
    <row r="217" spans="2:8" s="40" customFormat="1" ht="15.75" customHeight="1" x14ac:dyDescent="0.25">
      <c r="B217" s="39"/>
      <c r="C217" s="39"/>
      <c r="D217" s="39"/>
      <c r="E217" s="39"/>
      <c r="F217" s="39"/>
      <c r="G217" s="39"/>
      <c r="H217" s="39"/>
    </row>
    <row r="218" spans="2:8" s="40" customFormat="1" ht="15.75" customHeight="1" x14ac:dyDescent="0.25">
      <c r="B218" s="39"/>
      <c r="C218" s="39"/>
      <c r="D218" s="39"/>
      <c r="E218" s="39"/>
      <c r="F218" s="39"/>
      <c r="G218" s="39"/>
      <c r="H218" s="39"/>
    </row>
    <row r="219" spans="2:8" s="40" customFormat="1" ht="15.75" customHeight="1" x14ac:dyDescent="0.25">
      <c r="B219" s="39"/>
      <c r="C219" s="39"/>
      <c r="D219" s="39"/>
      <c r="E219" s="39"/>
      <c r="F219" s="39"/>
      <c r="G219" s="39"/>
      <c r="H219" s="39"/>
    </row>
    <row r="220" spans="2:8" s="40" customFormat="1" ht="15.75" customHeight="1" x14ac:dyDescent="0.25">
      <c r="B220" s="39"/>
      <c r="C220" s="39"/>
      <c r="D220" s="39"/>
      <c r="E220" s="39"/>
      <c r="F220" s="39"/>
      <c r="G220" s="39"/>
      <c r="H220" s="39"/>
    </row>
    <row r="221" spans="2:8" s="40" customFormat="1" ht="15.75" customHeight="1" x14ac:dyDescent="0.25">
      <c r="B221" s="39"/>
      <c r="C221" s="39"/>
      <c r="D221" s="39"/>
      <c r="E221" s="39"/>
      <c r="F221" s="39"/>
      <c r="G221" s="39"/>
      <c r="H221" s="39"/>
    </row>
    <row r="222" spans="2:8" s="40" customFormat="1" ht="15.75" customHeight="1" x14ac:dyDescent="0.25">
      <c r="B222" s="39"/>
      <c r="C222" s="39"/>
      <c r="D222" s="39"/>
      <c r="E222" s="39"/>
      <c r="F222" s="39"/>
      <c r="G222" s="39"/>
      <c r="H222" s="39"/>
    </row>
    <row r="223" spans="2:8" s="40" customFormat="1" ht="15.75" customHeight="1" x14ac:dyDescent="0.25">
      <c r="B223" s="39"/>
      <c r="C223" s="39"/>
      <c r="D223" s="39"/>
      <c r="E223" s="39"/>
      <c r="F223" s="39"/>
      <c r="G223" s="39"/>
      <c r="H223" s="39"/>
    </row>
    <row r="224" spans="2:8" s="40" customFormat="1" ht="15.75" customHeight="1" x14ac:dyDescent="0.25">
      <c r="B224" s="39"/>
      <c r="C224" s="39"/>
      <c r="D224" s="39"/>
      <c r="E224" s="39"/>
      <c r="F224" s="39"/>
      <c r="G224" s="39"/>
      <c r="H224" s="39"/>
    </row>
    <row r="225" spans="2:8" s="40" customFormat="1" ht="15.75" customHeight="1" x14ac:dyDescent="0.25">
      <c r="B225" s="39"/>
      <c r="C225" s="39"/>
      <c r="D225" s="39"/>
      <c r="E225" s="39"/>
      <c r="F225" s="39"/>
      <c r="G225" s="39"/>
      <c r="H225" s="39"/>
    </row>
    <row r="226" spans="2:8" s="40" customFormat="1" ht="15.75" customHeight="1" x14ac:dyDescent="0.25">
      <c r="B226" s="39"/>
      <c r="C226" s="39"/>
      <c r="D226" s="39"/>
      <c r="E226" s="39"/>
      <c r="F226" s="39"/>
      <c r="G226" s="39"/>
      <c r="H226" s="39"/>
    </row>
    <row r="227" spans="2:8" s="40" customFormat="1" ht="15.75" customHeight="1" x14ac:dyDescent="0.25">
      <c r="B227" s="39"/>
      <c r="C227" s="39"/>
      <c r="D227" s="39"/>
      <c r="E227" s="39"/>
      <c r="F227" s="39"/>
      <c r="G227" s="39"/>
      <c r="H227" s="39"/>
    </row>
    <row r="228" spans="2:8" s="40" customFormat="1" ht="15.75" customHeight="1" x14ac:dyDescent="0.25">
      <c r="B228" s="39"/>
      <c r="C228" s="39"/>
      <c r="D228" s="39"/>
      <c r="E228" s="39"/>
      <c r="F228" s="39"/>
      <c r="G228" s="39"/>
      <c r="H228" s="39"/>
    </row>
    <row r="229" spans="2:8" s="40" customFormat="1" ht="15.75" customHeight="1" x14ac:dyDescent="0.25">
      <c r="B229" s="39"/>
      <c r="C229" s="39"/>
      <c r="D229" s="39"/>
      <c r="E229" s="39"/>
      <c r="F229" s="39"/>
      <c r="G229" s="39"/>
      <c r="H229" s="39"/>
    </row>
    <row r="230" spans="2:8" s="40" customFormat="1" ht="15.75" customHeight="1" x14ac:dyDescent="0.25">
      <c r="B230" s="39"/>
      <c r="C230" s="39"/>
      <c r="D230" s="39"/>
      <c r="E230" s="39"/>
      <c r="F230" s="39"/>
      <c r="G230" s="39"/>
      <c r="H230" s="39"/>
    </row>
    <row r="231" spans="2:8" s="40" customFormat="1" ht="15.75" customHeight="1" x14ac:dyDescent="0.25">
      <c r="B231" s="39"/>
      <c r="C231" s="39"/>
      <c r="D231" s="39"/>
      <c r="E231" s="39"/>
      <c r="F231" s="39"/>
      <c r="G231" s="39"/>
      <c r="H231" s="39"/>
    </row>
    <row r="232" spans="2:8" s="40" customFormat="1" ht="15.75" customHeight="1" x14ac:dyDescent="0.25">
      <c r="B232" s="39"/>
      <c r="C232" s="39"/>
      <c r="D232" s="39"/>
      <c r="E232" s="39"/>
      <c r="F232" s="39"/>
      <c r="G232" s="39"/>
      <c r="H232" s="39"/>
    </row>
    <row r="233" spans="2:8" s="40" customFormat="1" ht="15.75" customHeight="1" x14ac:dyDescent="0.25">
      <c r="B233" s="39"/>
      <c r="C233" s="39"/>
      <c r="D233" s="39"/>
      <c r="E233" s="39"/>
      <c r="F233" s="39"/>
      <c r="G233" s="39"/>
      <c r="H233" s="39"/>
    </row>
    <row r="234" spans="2:8" s="40" customFormat="1" ht="15.75" customHeight="1" x14ac:dyDescent="0.25">
      <c r="B234" s="39"/>
      <c r="C234" s="39"/>
      <c r="D234" s="39"/>
      <c r="E234" s="39"/>
      <c r="F234" s="39"/>
      <c r="G234" s="39"/>
      <c r="H234" s="39"/>
    </row>
    <row r="235" spans="2:8" s="40" customFormat="1" ht="15.75" customHeight="1" x14ac:dyDescent="0.25">
      <c r="B235" s="39"/>
      <c r="C235" s="39"/>
      <c r="D235" s="39"/>
      <c r="E235" s="39"/>
      <c r="F235" s="39"/>
      <c r="G235" s="39"/>
      <c r="H235" s="39"/>
    </row>
    <row r="236" spans="2:8" s="40" customFormat="1" ht="15.75" customHeight="1" x14ac:dyDescent="0.25">
      <c r="B236" s="39"/>
      <c r="C236" s="39"/>
      <c r="D236" s="39"/>
      <c r="E236" s="39"/>
      <c r="F236" s="39"/>
      <c r="G236" s="39"/>
      <c r="H236" s="39"/>
    </row>
    <row r="237" spans="2:8" s="40" customFormat="1" ht="15.75" customHeight="1" x14ac:dyDescent="0.25">
      <c r="B237" s="39"/>
      <c r="C237" s="39"/>
      <c r="D237" s="39"/>
      <c r="E237" s="39"/>
      <c r="F237" s="39"/>
      <c r="G237" s="39"/>
      <c r="H237" s="39"/>
    </row>
    <row r="238" spans="2:8" s="40" customFormat="1" ht="15.75" customHeight="1" x14ac:dyDescent="0.25">
      <c r="B238" s="39"/>
      <c r="C238" s="39"/>
      <c r="D238" s="39"/>
      <c r="E238" s="39"/>
      <c r="F238" s="39"/>
      <c r="G238" s="39"/>
      <c r="H238" s="39"/>
    </row>
    <row r="239" spans="2:8" s="40" customFormat="1" ht="15.75" customHeight="1" x14ac:dyDescent="0.25">
      <c r="B239" s="39"/>
      <c r="C239" s="39"/>
      <c r="D239" s="39"/>
      <c r="E239" s="39"/>
      <c r="F239" s="39"/>
      <c r="G239" s="39"/>
      <c r="H239" s="39"/>
    </row>
    <row r="240" spans="2:8" s="40" customFormat="1" ht="15.75" customHeight="1" x14ac:dyDescent="0.25">
      <c r="B240" s="39"/>
      <c r="C240" s="39"/>
      <c r="D240" s="39"/>
      <c r="E240" s="39"/>
      <c r="F240" s="39"/>
      <c r="G240" s="39"/>
      <c r="H240" s="39"/>
    </row>
    <row r="241" spans="2:8" s="40" customFormat="1" ht="15.75" customHeight="1" x14ac:dyDescent="0.25">
      <c r="B241" s="39"/>
      <c r="C241" s="39"/>
      <c r="D241" s="39"/>
      <c r="E241" s="39"/>
      <c r="F241" s="39"/>
      <c r="G241" s="39"/>
      <c r="H241" s="39"/>
    </row>
    <row r="242" spans="2:8" s="40" customFormat="1" ht="15.75" customHeight="1" x14ac:dyDescent="0.25">
      <c r="B242" s="39"/>
      <c r="C242" s="39"/>
      <c r="D242" s="39"/>
      <c r="E242" s="39"/>
      <c r="F242" s="39"/>
      <c r="G242" s="39"/>
      <c r="H242" s="39"/>
    </row>
    <row r="243" spans="2:8" s="40" customFormat="1" ht="15.75" customHeight="1" x14ac:dyDescent="0.25">
      <c r="B243" s="39"/>
      <c r="C243" s="39"/>
      <c r="D243" s="39"/>
      <c r="E243" s="39"/>
      <c r="F243" s="39"/>
      <c r="G243" s="39"/>
      <c r="H243" s="39"/>
    </row>
    <row r="244" spans="2:8" s="40" customFormat="1" ht="15.75" customHeight="1" x14ac:dyDescent="0.25">
      <c r="B244" s="39"/>
      <c r="C244" s="39"/>
      <c r="D244" s="39"/>
      <c r="E244" s="39"/>
      <c r="F244" s="39"/>
      <c r="G244" s="39"/>
      <c r="H244" s="39"/>
    </row>
    <row r="245" spans="2:8" s="40" customFormat="1" ht="15.75" customHeight="1" x14ac:dyDescent="0.25">
      <c r="B245" s="39"/>
      <c r="C245" s="39"/>
      <c r="D245" s="39"/>
      <c r="E245" s="39"/>
      <c r="F245" s="39"/>
      <c r="G245" s="39"/>
      <c r="H245" s="39"/>
    </row>
    <row r="246" spans="2:8" s="40" customFormat="1" ht="15.75" customHeight="1" x14ac:dyDescent="0.25">
      <c r="B246" s="39"/>
      <c r="C246" s="39"/>
      <c r="D246" s="39"/>
      <c r="E246" s="39"/>
      <c r="F246" s="39"/>
      <c r="G246" s="39"/>
      <c r="H246" s="39"/>
    </row>
    <row r="247" spans="2:8" s="40" customFormat="1" ht="15.75" customHeight="1" x14ac:dyDescent="0.25">
      <c r="B247" s="39"/>
      <c r="C247" s="39"/>
      <c r="D247" s="39"/>
      <c r="E247" s="39"/>
      <c r="F247" s="39"/>
      <c r="G247" s="39"/>
      <c r="H247" s="39"/>
    </row>
    <row r="248" spans="2:8" s="40" customFormat="1" ht="15.75" customHeight="1" x14ac:dyDescent="0.25">
      <c r="B248" s="39"/>
      <c r="C248" s="39"/>
      <c r="D248" s="39"/>
      <c r="E248" s="39"/>
      <c r="F248" s="39"/>
      <c r="G248" s="39"/>
      <c r="H248" s="39"/>
    </row>
    <row r="249" spans="2:8" s="40" customFormat="1" ht="15.75" customHeight="1" x14ac:dyDescent="0.25">
      <c r="B249" s="39"/>
      <c r="C249" s="39"/>
      <c r="D249" s="39"/>
      <c r="E249" s="39"/>
      <c r="F249" s="39"/>
      <c r="G249" s="39"/>
      <c r="H249" s="39"/>
    </row>
    <row r="250" spans="2:8" s="40" customFormat="1" ht="15.75" customHeight="1" x14ac:dyDescent="0.25">
      <c r="B250" s="39"/>
      <c r="C250" s="39"/>
      <c r="D250" s="39"/>
      <c r="E250" s="39"/>
      <c r="F250" s="39"/>
      <c r="G250" s="39"/>
      <c r="H250" s="39"/>
    </row>
    <row r="251" spans="2:8" s="40" customFormat="1" ht="15.75" customHeight="1" x14ac:dyDescent="0.25">
      <c r="B251" s="39"/>
      <c r="C251" s="39"/>
      <c r="D251" s="39"/>
      <c r="E251" s="39"/>
      <c r="F251" s="39"/>
      <c r="G251" s="39"/>
      <c r="H251" s="39"/>
    </row>
    <row r="252" spans="2:8" s="40" customFormat="1" ht="15.75" customHeight="1" x14ac:dyDescent="0.25">
      <c r="B252" s="39"/>
      <c r="C252" s="39"/>
      <c r="D252" s="39"/>
      <c r="E252" s="39"/>
      <c r="F252" s="39"/>
      <c r="G252" s="39"/>
      <c r="H252" s="39"/>
    </row>
    <row r="253" spans="2:8" s="40" customFormat="1" ht="15.75" customHeight="1" x14ac:dyDescent="0.25">
      <c r="B253" s="39"/>
      <c r="C253" s="39"/>
      <c r="D253" s="39"/>
      <c r="E253" s="39"/>
      <c r="F253" s="39"/>
      <c r="G253" s="39"/>
      <c r="H253" s="39"/>
    </row>
    <row r="254" spans="2:8" s="40" customFormat="1" ht="15.75" customHeight="1" x14ac:dyDescent="0.25">
      <c r="B254" s="39"/>
      <c r="C254" s="39"/>
      <c r="D254" s="39"/>
      <c r="E254" s="39"/>
      <c r="F254" s="39"/>
      <c r="G254" s="39"/>
      <c r="H254" s="39"/>
    </row>
    <row r="255" spans="2:8" s="40" customFormat="1" ht="15.75" customHeight="1" x14ac:dyDescent="0.25">
      <c r="B255" s="39"/>
      <c r="C255" s="39"/>
      <c r="D255" s="39"/>
      <c r="E255" s="39"/>
      <c r="F255" s="39"/>
      <c r="G255" s="39"/>
      <c r="H255" s="39"/>
    </row>
    <row r="256" spans="2:8" s="40" customFormat="1" ht="15.75" customHeight="1" x14ac:dyDescent="0.25">
      <c r="B256" s="39"/>
      <c r="C256" s="39"/>
      <c r="D256" s="39"/>
      <c r="E256" s="39"/>
      <c r="F256" s="39"/>
      <c r="G256" s="39"/>
      <c r="H256" s="39"/>
    </row>
    <row r="257" spans="2:8" s="40" customFormat="1" ht="15.75" customHeight="1" x14ac:dyDescent="0.25">
      <c r="B257" s="39"/>
      <c r="C257" s="39"/>
      <c r="D257" s="39"/>
      <c r="E257" s="39"/>
      <c r="F257" s="39"/>
      <c r="G257" s="39"/>
      <c r="H257" s="39"/>
    </row>
    <row r="258" spans="2:8" s="40" customFormat="1" ht="15.75" customHeight="1" x14ac:dyDescent="0.25">
      <c r="B258" s="39"/>
      <c r="C258" s="39"/>
      <c r="D258" s="39"/>
      <c r="E258" s="39"/>
      <c r="F258" s="39"/>
      <c r="G258" s="39"/>
      <c r="H258" s="39"/>
    </row>
    <row r="259" spans="2:8" s="40" customFormat="1" ht="15.75" customHeight="1" x14ac:dyDescent="0.25">
      <c r="B259" s="39"/>
      <c r="C259" s="39"/>
      <c r="D259" s="39"/>
      <c r="E259" s="39"/>
      <c r="F259" s="39"/>
      <c r="G259" s="39"/>
      <c r="H259" s="39"/>
    </row>
    <row r="260" spans="2:8" s="40" customFormat="1" ht="15.75" customHeight="1" x14ac:dyDescent="0.25">
      <c r="B260" s="39"/>
      <c r="C260" s="39"/>
      <c r="D260" s="39"/>
      <c r="E260" s="39"/>
      <c r="F260" s="39"/>
      <c r="G260" s="39"/>
      <c r="H260" s="39"/>
    </row>
    <row r="261" spans="2:8" s="40" customFormat="1" ht="15.75" customHeight="1" x14ac:dyDescent="0.25">
      <c r="B261" s="39"/>
      <c r="C261" s="39"/>
      <c r="D261" s="39"/>
      <c r="E261" s="39"/>
      <c r="F261" s="39"/>
      <c r="G261" s="39"/>
      <c r="H261" s="39"/>
    </row>
    <row r="262" spans="2:8" s="40" customFormat="1" ht="15.75" customHeight="1" x14ac:dyDescent="0.25">
      <c r="B262" s="39"/>
      <c r="C262" s="39"/>
      <c r="D262" s="39"/>
      <c r="E262" s="39"/>
      <c r="F262" s="39"/>
      <c r="G262" s="39"/>
      <c r="H262" s="39"/>
    </row>
    <row r="263" spans="2:8" s="40" customFormat="1" ht="15.75" customHeight="1" x14ac:dyDescent="0.25">
      <c r="B263" s="39"/>
      <c r="C263" s="39"/>
      <c r="D263" s="39"/>
      <c r="E263" s="39"/>
      <c r="F263" s="39"/>
      <c r="G263" s="39"/>
      <c r="H263" s="39"/>
    </row>
    <row r="264" spans="2:8" s="40" customFormat="1" ht="15.75" customHeight="1" x14ac:dyDescent="0.25">
      <c r="B264" s="39"/>
      <c r="C264" s="39"/>
      <c r="D264" s="39"/>
      <c r="E264" s="39"/>
      <c r="F264" s="39"/>
      <c r="G264" s="39"/>
      <c r="H264" s="39"/>
    </row>
    <row r="265" spans="2:8" s="40" customFormat="1" ht="15.75" customHeight="1" x14ac:dyDescent="0.25">
      <c r="B265" s="39"/>
      <c r="C265" s="39"/>
      <c r="D265" s="39"/>
      <c r="E265" s="39"/>
      <c r="F265" s="39"/>
      <c r="G265" s="39"/>
      <c r="H265" s="39"/>
    </row>
    <row r="266" spans="2:8" s="40" customFormat="1" ht="15.75" customHeight="1" x14ac:dyDescent="0.25">
      <c r="B266" s="39"/>
      <c r="C266" s="39"/>
      <c r="D266" s="39"/>
      <c r="E266" s="39"/>
      <c r="F266" s="39"/>
      <c r="G266" s="39"/>
      <c r="H266" s="39"/>
    </row>
    <row r="267" spans="2:8" s="40" customFormat="1" ht="15.75" customHeight="1" x14ac:dyDescent="0.25">
      <c r="B267" s="39"/>
      <c r="C267" s="39"/>
      <c r="D267" s="39"/>
      <c r="E267" s="39"/>
      <c r="F267" s="39"/>
      <c r="G267" s="39"/>
      <c r="H267" s="39"/>
    </row>
    <row r="268" spans="2:8" s="40" customFormat="1" ht="15.75" customHeight="1" x14ac:dyDescent="0.25">
      <c r="B268" s="39"/>
      <c r="C268" s="39"/>
      <c r="D268" s="39"/>
      <c r="E268" s="39"/>
      <c r="F268" s="39"/>
      <c r="G268" s="39"/>
      <c r="H268" s="39"/>
    </row>
    <row r="269" spans="2:8" s="40" customFormat="1" ht="15.75" customHeight="1" x14ac:dyDescent="0.25">
      <c r="B269" s="39"/>
      <c r="C269" s="39"/>
      <c r="D269" s="39"/>
      <c r="E269" s="39"/>
      <c r="F269" s="39"/>
      <c r="G269" s="39"/>
      <c r="H269" s="39"/>
    </row>
    <row r="270" spans="2:8" s="40" customFormat="1" ht="15.75" customHeight="1" x14ac:dyDescent="0.25">
      <c r="B270" s="39"/>
      <c r="C270" s="39"/>
      <c r="D270" s="39"/>
      <c r="E270" s="39"/>
      <c r="F270" s="39"/>
      <c r="G270" s="39"/>
      <c r="H270" s="39"/>
    </row>
    <row r="271" spans="2:8" s="40" customFormat="1" ht="15.75" customHeight="1" x14ac:dyDescent="0.25">
      <c r="B271" s="39"/>
      <c r="C271" s="39"/>
      <c r="D271" s="39"/>
      <c r="E271" s="39"/>
      <c r="F271" s="39"/>
      <c r="G271" s="39"/>
      <c r="H271" s="39"/>
    </row>
    <row r="272" spans="2:8" s="40" customFormat="1" ht="15.75" customHeight="1" x14ac:dyDescent="0.25">
      <c r="B272" s="39"/>
      <c r="C272" s="39"/>
      <c r="D272" s="39"/>
      <c r="E272" s="39"/>
      <c r="F272" s="39"/>
      <c r="G272" s="39"/>
      <c r="H272" s="39"/>
    </row>
    <row r="273" spans="2:8" s="40" customFormat="1" ht="15.75" customHeight="1" x14ac:dyDescent="0.25">
      <c r="B273" s="39"/>
      <c r="C273" s="39"/>
      <c r="D273" s="39"/>
      <c r="E273" s="39"/>
      <c r="F273" s="39"/>
      <c r="G273" s="39"/>
      <c r="H273" s="39"/>
    </row>
    <row r="274" spans="2:8" s="40" customFormat="1" ht="15.75" customHeight="1" x14ac:dyDescent="0.25">
      <c r="B274" s="39"/>
      <c r="C274" s="39"/>
      <c r="D274" s="39"/>
      <c r="E274" s="39"/>
      <c r="F274" s="39"/>
      <c r="G274" s="39"/>
      <c r="H274" s="39"/>
    </row>
    <row r="275" spans="2:8" s="40" customFormat="1" ht="15.75" customHeight="1" x14ac:dyDescent="0.25">
      <c r="B275" s="39"/>
      <c r="C275" s="39"/>
      <c r="D275" s="39"/>
      <c r="E275" s="39"/>
      <c r="F275" s="39"/>
      <c r="G275" s="39"/>
      <c r="H275" s="39"/>
    </row>
    <row r="276" spans="2:8" s="40" customFormat="1" ht="15.75" customHeight="1" x14ac:dyDescent="0.25">
      <c r="B276" s="39"/>
      <c r="C276" s="39"/>
      <c r="D276" s="39"/>
      <c r="E276" s="39"/>
      <c r="F276" s="39"/>
      <c r="G276" s="39"/>
      <c r="H276" s="39"/>
    </row>
    <row r="277" spans="2:8" s="40" customFormat="1" ht="15.75" customHeight="1" x14ac:dyDescent="0.25">
      <c r="B277" s="39"/>
      <c r="C277" s="39"/>
      <c r="D277" s="39"/>
      <c r="E277" s="39"/>
      <c r="F277" s="39"/>
      <c r="G277" s="39"/>
      <c r="H277" s="39"/>
    </row>
    <row r="278" spans="2:8" s="40" customFormat="1" ht="15.75" customHeight="1" x14ac:dyDescent="0.25">
      <c r="B278" s="39"/>
      <c r="C278" s="39"/>
      <c r="D278" s="39"/>
      <c r="E278" s="39"/>
      <c r="F278" s="39"/>
      <c r="G278" s="39"/>
      <c r="H278" s="39"/>
    </row>
    <row r="279" spans="2:8" s="40" customFormat="1" ht="15.75" customHeight="1" x14ac:dyDescent="0.25">
      <c r="B279" s="39"/>
      <c r="C279" s="39"/>
      <c r="D279" s="39"/>
      <c r="E279" s="39"/>
      <c r="F279" s="39"/>
      <c r="G279" s="39"/>
      <c r="H279" s="39"/>
    </row>
    <row r="280" spans="2:8" s="40" customFormat="1" ht="15.75" customHeight="1" x14ac:dyDescent="0.25">
      <c r="B280" s="39"/>
      <c r="C280" s="39"/>
      <c r="D280" s="39"/>
      <c r="E280" s="39"/>
      <c r="F280" s="39"/>
      <c r="G280" s="39"/>
      <c r="H280" s="39"/>
    </row>
    <row r="281" spans="2:8" s="40" customFormat="1" ht="15.75" customHeight="1" x14ac:dyDescent="0.25">
      <c r="B281" s="39"/>
      <c r="C281" s="39"/>
      <c r="D281" s="39"/>
      <c r="E281" s="39"/>
      <c r="F281" s="39"/>
      <c r="G281" s="39"/>
      <c r="H281" s="39"/>
    </row>
    <row r="282" spans="2:8" s="40" customFormat="1" ht="15.75" customHeight="1" x14ac:dyDescent="0.25">
      <c r="B282" s="39"/>
      <c r="C282" s="39"/>
      <c r="D282" s="39"/>
      <c r="E282" s="39"/>
      <c r="F282" s="39"/>
      <c r="G282" s="39"/>
      <c r="H282" s="39"/>
    </row>
    <row r="283" spans="2:8" s="40" customFormat="1" ht="15.75" customHeight="1" x14ac:dyDescent="0.25">
      <c r="B283" s="39"/>
      <c r="C283" s="39"/>
      <c r="D283" s="39"/>
      <c r="E283" s="39"/>
      <c r="F283" s="39"/>
      <c r="G283" s="39"/>
      <c r="H283" s="39"/>
    </row>
    <row r="284" spans="2:8" s="40" customFormat="1" ht="15.75" customHeight="1" x14ac:dyDescent="0.25">
      <c r="B284" s="39"/>
      <c r="C284" s="39"/>
      <c r="D284" s="39"/>
      <c r="E284" s="39"/>
      <c r="F284" s="39"/>
      <c r="G284" s="39"/>
      <c r="H284" s="39"/>
    </row>
    <row r="285" spans="2:8" s="40" customFormat="1" ht="15.75" customHeight="1" x14ac:dyDescent="0.25">
      <c r="B285" s="39"/>
      <c r="C285" s="39"/>
      <c r="D285" s="39"/>
      <c r="E285" s="39"/>
      <c r="F285" s="39"/>
      <c r="G285" s="39"/>
      <c r="H285" s="39"/>
    </row>
    <row r="286" spans="2:8" s="40" customFormat="1" ht="15.75" customHeight="1" x14ac:dyDescent="0.25">
      <c r="B286" s="39"/>
      <c r="C286" s="39"/>
      <c r="D286" s="39"/>
      <c r="E286" s="39"/>
      <c r="F286" s="39"/>
      <c r="G286" s="39"/>
      <c r="H286" s="39"/>
    </row>
    <row r="287" spans="2:8" s="40" customFormat="1" ht="15.75" customHeight="1" x14ac:dyDescent="0.25">
      <c r="B287" s="39"/>
      <c r="C287" s="39"/>
      <c r="D287" s="39"/>
      <c r="E287" s="39"/>
      <c r="F287" s="39"/>
      <c r="G287" s="39"/>
      <c r="H287" s="39"/>
    </row>
    <row r="288" spans="2:8" s="40" customFormat="1" ht="15.75" customHeight="1" x14ac:dyDescent="0.25">
      <c r="B288" s="39"/>
      <c r="C288" s="39"/>
      <c r="D288" s="39"/>
      <c r="E288" s="39"/>
      <c r="F288" s="39"/>
      <c r="G288" s="39"/>
      <c r="H288" s="39"/>
    </row>
    <row r="289" spans="2:8" s="40" customFormat="1" ht="15.75" customHeight="1" x14ac:dyDescent="0.25">
      <c r="B289" s="39"/>
      <c r="C289" s="39"/>
      <c r="D289" s="39"/>
      <c r="E289" s="39"/>
      <c r="F289" s="39"/>
      <c r="G289" s="39"/>
      <c r="H289" s="39"/>
    </row>
    <row r="290" spans="2:8" s="40" customFormat="1" ht="15.75" customHeight="1" x14ac:dyDescent="0.25">
      <c r="B290" s="39"/>
      <c r="C290" s="39"/>
      <c r="D290" s="39"/>
      <c r="E290" s="39"/>
      <c r="F290" s="39"/>
      <c r="G290" s="39"/>
      <c r="H290" s="39"/>
    </row>
    <row r="291" spans="2:8" s="40" customFormat="1" ht="15.75" customHeight="1" x14ac:dyDescent="0.25">
      <c r="B291" s="39"/>
      <c r="C291" s="39"/>
      <c r="D291" s="39"/>
      <c r="E291" s="39"/>
      <c r="F291" s="39"/>
      <c r="G291" s="39"/>
      <c r="H291" s="39"/>
    </row>
    <row r="292" spans="2:8" s="40" customFormat="1" ht="15.75" customHeight="1" x14ac:dyDescent="0.25">
      <c r="B292" s="39"/>
      <c r="C292" s="39"/>
      <c r="D292" s="39"/>
      <c r="E292" s="39"/>
      <c r="F292" s="39"/>
      <c r="G292" s="39"/>
      <c r="H292" s="39"/>
    </row>
    <row r="293" spans="2:8" s="40" customFormat="1" ht="15.75" customHeight="1" x14ac:dyDescent="0.25">
      <c r="B293" s="39"/>
      <c r="C293" s="39"/>
      <c r="D293" s="39"/>
      <c r="E293" s="39"/>
      <c r="F293" s="39"/>
      <c r="G293" s="39"/>
      <c r="H293" s="39"/>
    </row>
    <row r="294" spans="2:8" s="40" customFormat="1" ht="15.75" customHeight="1" x14ac:dyDescent="0.25">
      <c r="B294" s="39"/>
      <c r="C294" s="39"/>
      <c r="D294" s="39"/>
      <c r="E294" s="39"/>
      <c r="F294" s="39"/>
      <c r="G294" s="39"/>
      <c r="H294" s="39"/>
    </row>
    <row r="295" spans="2:8" s="40" customFormat="1" ht="15.75" customHeight="1" x14ac:dyDescent="0.25">
      <c r="B295" s="39"/>
      <c r="C295" s="39"/>
      <c r="D295" s="39"/>
      <c r="E295" s="39"/>
      <c r="F295" s="39"/>
      <c r="G295" s="39"/>
      <c r="H295" s="39"/>
    </row>
    <row r="296" spans="2:8" s="40" customFormat="1" ht="15.75" customHeight="1" x14ac:dyDescent="0.25">
      <c r="B296" s="39"/>
      <c r="C296" s="39"/>
      <c r="D296" s="39"/>
      <c r="E296" s="39"/>
      <c r="F296" s="39"/>
      <c r="G296" s="39"/>
      <c r="H296" s="39"/>
    </row>
    <row r="297" spans="2:8" s="40" customFormat="1" ht="15.75" customHeight="1" x14ac:dyDescent="0.25">
      <c r="B297" s="39"/>
      <c r="C297" s="39"/>
      <c r="D297" s="39"/>
      <c r="E297" s="39"/>
      <c r="F297" s="39"/>
      <c r="G297" s="39"/>
      <c r="H297" s="39"/>
    </row>
    <row r="298" spans="2:8" s="40" customFormat="1" ht="15.75" customHeight="1" x14ac:dyDescent="0.25">
      <c r="B298" s="39"/>
      <c r="C298" s="39"/>
      <c r="D298" s="39"/>
      <c r="E298" s="39"/>
      <c r="F298" s="39"/>
      <c r="G298" s="39"/>
      <c r="H298" s="39"/>
    </row>
    <row r="299" spans="2:8" s="40" customFormat="1" ht="15.75" customHeight="1" x14ac:dyDescent="0.25">
      <c r="B299" s="39"/>
      <c r="C299" s="39"/>
      <c r="D299" s="39"/>
      <c r="E299" s="39"/>
      <c r="F299" s="39"/>
      <c r="G299" s="39"/>
      <c r="H299" s="39"/>
    </row>
    <row r="300" spans="2:8" s="40" customFormat="1" ht="15.75" customHeight="1" x14ac:dyDescent="0.25">
      <c r="B300" s="39"/>
      <c r="C300" s="39"/>
      <c r="D300" s="39"/>
      <c r="E300" s="39"/>
      <c r="F300" s="39"/>
      <c r="G300" s="39"/>
      <c r="H300" s="39"/>
    </row>
    <row r="301" spans="2:8" s="40" customFormat="1" ht="15.75" customHeight="1" x14ac:dyDescent="0.25">
      <c r="B301" s="39"/>
      <c r="C301" s="39"/>
      <c r="D301" s="39"/>
      <c r="E301" s="39"/>
      <c r="F301" s="39"/>
      <c r="G301" s="39"/>
      <c r="H301" s="39"/>
    </row>
    <row r="302" spans="2:8" s="40" customFormat="1" ht="15.75" customHeight="1" x14ac:dyDescent="0.25">
      <c r="B302" s="39"/>
      <c r="C302" s="39"/>
      <c r="D302" s="39"/>
      <c r="E302" s="39"/>
      <c r="F302" s="39"/>
      <c r="G302" s="39"/>
      <c r="H302" s="39"/>
    </row>
    <row r="303" spans="2:8" s="40" customFormat="1" ht="15.75" customHeight="1" x14ac:dyDescent="0.25">
      <c r="B303" s="39"/>
      <c r="C303" s="39"/>
      <c r="D303" s="39"/>
      <c r="E303" s="39"/>
      <c r="F303" s="39"/>
      <c r="G303" s="39"/>
      <c r="H303" s="39"/>
    </row>
    <row r="304" spans="2:8" s="40" customFormat="1" ht="15.75" customHeight="1" x14ac:dyDescent="0.25">
      <c r="B304" s="39"/>
      <c r="C304" s="39"/>
      <c r="D304" s="39"/>
      <c r="E304" s="39"/>
      <c r="F304" s="39"/>
      <c r="G304" s="39"/>
      <c r="H304" s="39"/>
    </row>
    <row r="305" spans="2:8" s="40" customFormat="1" ht="15.75" customHeight="1" x14ac:dyDescent="0.25">
      <c r="B305" s="39"/>
      <c r="C305" s="39"/>
      <c r="D305" s="39"/>
      <c r="E305" s="39"/>
      <c r="F305" s="39"/>
      <c r="G305" s="39"/>
      <c r="H305" s="39"/>
    </row>
    <row r="306" spans="2:8" s="40" customFormat="1" ht="15.75" customHeight="1" x14ac:dyDescent="0.25">
      <c r="B306" s="39"/>
      <c r="C306" s="39"/>
      <c r="D306" s="39"/>
      <c r="E306" s="39"/>
      <c r="F306" s="39"/>
      <c r="G306" s="39"/>
      <c r="H306" s="39"/>
    </row>
    <row r="307" spans="2:8" s="40" customFormat="1" ht="15.75" customHeight="1" x14ac:dyDescent="0.25">
      <c r="B307" s="39"/>
      <c r="C307" s="39"/>
      <c r="D307" s="39"/>
      <c r="E307" s="39"/>
      <c r="F307" s="39"/>
      <c r="G307" s="39"/>
      <c r="H307" s="39"/>
    </row>
    <row r="308" spans="2:8" s="40" customFormat="1" ht="15.75" customHeight="1" x14ac:dyDescent="0.25">
      <c r="B308" s="39"/>
      <c r="C308" s="39"/>
      <c r="D308" s="39"/>
      <c r="E308" s="39"/>
      <c r="F308" s="39"/>
      <c r="G308" s="39"/>
      <c r="H308" s="39"/>
    </row>
    <row r="309" spans="2:8" s="40" customFormat="1" ht="15.75" customHeight="1" x14ac:dyDescent="0.25">
      <c r="B309" s="39"/>
      <c r="C309" s="39"/>
      <c r="D309" s="39"/>
      <c r="E309" s="39"/>
      <c r="F309" s="39"/>
      <c r="G309" s="39"/>
      <c r="H309" s="39"/>
    </row>
    <row r="310" spans="2:8" s="40" customFormat="1" ht="15.75" customHeight="1" x14ac:dyDescent="0.25">
      <c r="B310" s="39"/>
      <c r="C310" s="39"/>
      <c r="D310" s="39"/>
      <c r="E310" s="39"/>
      <c r="F310" s="39"/>
      <c r="G310" s="39"/>
      <c r="H310" s="39"/>
    </row>
    <row r="311" spans="2:8" s="40" customFormat="1" ht="15.75" customHeight="1" x14ac:dyDescent="0.25">
      <c r="B311" s="39"/>
      <c r="C311" s="39"/>
      <c r="D311" s="39"/>
      <c r="E311" s="39"/>
      <c r="F311" s="39"/>
      <c r="G311" s="39"/>
      <c r="H311" s="39"/>
    </row>
    <row r="312" spans="2:8" s="40" customFormat="1" ht="15.75" customHeight="1" x14ac:dyDescent="0.25">
      <c r="B312" s="39"/>
      <c r="C312" s="39"/>
      <c r="D312" s="39"/>
      <c r="E312" s="39"/>
      <c r="F312" s="39"/>
      <c r="G312" s="39"/>
      <c r="H312" s="39"/>
    </row>
    <row r="313" spans="2:8" s="40" customFormat="1" ht="15.75" customHeight="1" x14ac:dyDescent="0.25">
      <c r="B313" s="39"/>
      <c r="C313" s="39"/>
      <c r="D313" s="39"/>
      <c r="E313" s="39"/>
      <c r="F313" s="39"/>
      <c r="G313" s="39"/>
      <c r="H313" s="39"/>
    </row>
    <row r="314" spans="2:8" s="40" customFormat="1" ht="15.75" customHeight="1" x14ac:dyDescent="0.25">
      <c r="B314" s="39"/>
      <c r="C314" s="39"/>
      <c r="D314" s="39"/>
      <c r="E314" s="39"/>
      <c r="F314" s="39"/>
      <c r="G314" s="39"/>
      <c r="H314" s="39"/>
    </row>
    <row r="315" spans="2:8" s="40" customFormat="1" ht="15.75" customHeight="1" x14ac:dyDescent="0.25">
      <c r="B315" s="39"/>
      <c r="C315" s="39"/>
      <c r="D315" s="39"/>
      <c r="E315" s="39"/>
      <c r="F315" s="39"/>
      <c r="G315" s="39"/>
      <c r="H315" s="39"/>
    </row>
    <row r="316" spans="2:8" s="40" customFormat="1" ht="15.75" customHeight="1" x14ac:dyDescent="0.25">
      <c r="B316" s="39"/>
      <c r="C316" s="39"/>
      <c r="D316" s="39"/>
      <c r="E316" s="39"/>
      <c r="F316" s="39"/>
      <c r="G316" s="39"/>
      <c r="H316" s="39"/>
    </row>
    <row r="317" spans="2:8" s="40" customFormat="1" ht="15.75" customHeight="1" x14ac:dyDescent="0.25">
      <c r="B317" s="39"/>
      <c r="C317" s="39"/>
      <c r="D317" s="39"/>
      <c r="E317" s="39"/>
      <c r="F317" s="39"/>
      <c r="G317" s="39"/>
      <c r="H317" s="39"/>
    </row>
    <row r="318" spans="2:8" s="40" customFormat="1" ht="15.75" customHeight="1" x14ac:dyDescent="0.25">
      <c r="B318" s="39"/>
      <c r="C318" s="39"/>
      <c r="D318" s="39"/>
      <c r="E318" s="39"/>
      <c r="F318" s="39"/>
      <c r="G318" s="39"/>
      <c r="H318" s="39"/>
    </row>
    <row r="319" spans="2:8" s="40" customFormat="1" ht="15.75" customHeight="1" x14ac:dyDescent="0.25">
      <c r="B319" s="39"/>
      <c r="C319" s="39"/>
      <c r="D319" s="39"/>
      <c r="E319" s="39"/>
      <c r="F319" s="39"/>
      <c r="G319" s="39"/>
      <c r="H319" s="39"/>
    </row>
    <row r="320" spans="2:8" s="40" customFormat="1" ht="15.75" customHeight="1" x14ac:dyDescent="0.25">
      <c r="B320" s="39"/>
      <c r="C320" s="39"/>
      <c r="D320" s="39"/>
      <c r="E320" s="39"/>
      <c r="F320" s="39"/>
      <c r="G320" s="39"/>
      <c r="H320" s="39"/>
    </row>
    <row r="321" spans="2:8" s="40" customFormat="1" ht="15.75" customHeight="1" x14ac:dyDescent="0.25">
      <c r="B321" s="39"/>
      <c r="C321" s="39"/>
      <c r="D321" s="39"/>
      <c r="E321" s="39"/>
      <c r="F321" s="39"/>
      <c r="G321" s="39"/>
      <c r="H321" s="39"/>
    </row>
    <row r="322" spans="2:8" s="40" customFormat="1" ht="15.75" customHeight="1" x14ac:dyDescent="0.25">
      <c r="B322" s="39"/>
      <c r="C322" s="39"/>
      <c r="D322" s="39"/>
      <c r="E322" s="39"/>
      <c r="F322" s="39"/>
      <c r="G322" s="39"/>
      <c r="H322" s="39"/>
    </row>
    <row r="323" spans="2:8" s="40" customFormat="1" ht="15.75" customHeight="1" x14ac:dyDescent="0.25">
      <c r="B323" s="39"/>
      <c r="C323" s="39"/>
      <c r="D323" s="39"/>
      <c r="E323" s="39"/>
      <c r="F323" s="39"/>
      <c r="G323" s="39"/>
      <c r="H323" s="39"/>
    </row>
    <row r="324" spans="2:8" s="40" customFormat="1" ht="15.75" customHeight="1" x14ac:dyDescent="0.25">
      <c r="B324" s="39"/>
      <c r="C324" s="39"/>
      <c r="D324" s="39"/>
      <c r="E324" s="39"/>
      <c r="F324" s="39"/>
      <c r="G324" s="39"/>
      <c r="H324" s="39"/>
    </row>
    <row r="325" spans="2:8" s="40" customFormat="1" ht="15.75" customHeight="1" x14ac:dyDescent="0.25">
      <c r="B325" s="39"/>
      <c r="C325" s="39"/>
      <c r="D325" s="39"/>
      <c r="E325" s="39"/>
      <c r="F325" s="39"/>
      <c r="G325" s="39"/>
      <c r="H325" s="39"/>
    </row>
    <row r="326" spans="2:8" s="40" customFormat="1" ht="15.75" customHeight="1" x14ac:dyDescent="0.25">
      <c r="B326" s="39"/>
      <c r="C326" s="39"/>
      <c r="D326" s="39"/>
      <c r="E326" s="39"/>
      <c r="F326" s="39"/>
      <c r="G326" s="39"/>
      <c r="H326" s="39"/>
    </row>
    <row r="327" spans="2:8" s="40" customFormat="1" ht="15.75" customHeight="1" x14ac:dyDescent="0.25">
      <c r="B327" s="39"/>
      <c r="C327" s="39"/>
      <c r="D327" s="39"/>
      <c r="E327" s="39"/>
      <c r="F327" s="39"/>
      <c r="G327" s="39"/>
      <c r="H327" s="39"/>
    </row>
    <row r="328" spans="2:8" s="40" customFormat="1" ht="15.75" customHeight="1" x14ac:dyDescent="0.25">
      <c r="B328" s="39"/>
      <c r="C328" s="39"/>
      <c r="D328" s="39"/>
      <c r="E328" s="39"/>
      <c r="F328" s="39"/>
      <c r="G328" s="39"/>
      <c r="H328" s="39"/>
    </row>
    <row r="329" spans="2:8" s="40" customFormat="1" ht="15.75" customHeight="1" x14ac:dyDescent="0.25">
      <c r="B329" s="39"/>
      <c r="C329" s="39"/>
      <c r="D329" s="39"/>
      <c r="E329" s="39"/>
      <c r="F329" s="39"/>
      <c r="G329" s="39"/>
      <c r="H329" s="39"/>
    </row>
    <row r="330" spans="2:8" s="40" customFormat="1" ht="15.75" customHeight="1" x14ac:dyDescent="0.25">
      <c r="B330" s="39"/>
      <c r="C330" s="39"/>
      <c r="D330" s="39"/>
      <c r="E330" s="39"/>
      <c r="F330" s="39"/>
      <c r="G330" s="39"/>
      <c r="H330" s="39"/>
    </row>
    <row r="331" spans="2:8" s="40" customFormat="1" ht="15.75" customHeight="1" x14ac:dyDescent="0.25">
      <c r="B331" s="39"/>
      <c r="C331" s="39"/>
      <c r="D331" s="39"/>
      <c r="E331" s="39"/>
      <c r="F331" s="39"/>
      <c r="G331" s="39"/>
      <c r="H331" s="39"/>
    </row>
    <row r="332" spans="2:8" s="40" customFormat="1" ht="15.75" customHeight="1" x14ac:dyDescent="0.25">
      <c r="B332" s="39"/>
      <c r="C332" s="39"/>
      <c r="D332" s="39"/>
      <c r="E332" s="39"/>
      <c r="F332" s="39"/>
      <c r="G332" s="39"/>
      <c r="H332" s="39"/>
    </row>
    <row r="333" spans="2:8" s="40" customFormat="1" ht="15.75" customHeight="1" x14ac:dyDescent="0.25">
      <c r="B333" s="39"/>
      <c r="C333" s="39"/>
      <c r="D333" s="39"/>
      <c r="E333" s="39"/>
      <c r="F333" s="39"/>
      <c r="G333" s="39"/>
      <c r="H333" s="39"/>
    </row>
    <row r="334" spans="2:8" s="40" customFormat="1" ht="15.75" customHeight="1" x14ac:dyDescent="0.25">
      <c r="B334" s="39"/>
      <c r="C334" s="39"/>
      <c r="D334" s="39"/>
      <c r="E334" s="39"/>
      <c r="F334" s="39"/>
      <c r="G334" s="39"/>
      <c r="H334" s="39"/>
    </row>
    <row r="335" spans="2:8" s="40" customFormat="1" ht="15.75" customHeight="1" x14ac:dyDescent="0.25">
      <c r="B335" s="39"/>
      <c r="C335" s="39"/>
      <c r="D335" s="39"/>
      <c r="E335" s="39"/>
      <c r="F335" s="39"/>
      <c r="G335" s="39"/>
      <c r="H335" s="39"/>
    </row>
    <row r="336" spans="2:8" s="40" customFormat="1" ht="15.75" customHeight="1" x14ac:dyDescent="0.25">
      <c r="B336" s="39"/>
      <c r="C336" s="39"/>
      <c r="D336" s="39"/>
      <c r="E336" s="39"/>
      <c r="F336" s="39"/>
      <c r="G336" s="39"/>
      <c r="H336" s="39"/>
    </row>
    <row r="337" spans="2:8" s="40" customFormat="1" ht="15.75" customHeight="1" x14ac:dyDescent="0.25">
      <c r="B337" s="39"/>
      <c r="C337" s="39"/>
      <c r="D337" s="39"/>
      <c r="E337" s="39"/>
      <c r="F337" s="39"/>
      <c r="G337" s="39"/>
      <c r="H337" s="39"/>
    </row>
    <row r="338" spans="2:8" s="40" customFormat="1" ht="15.75" customHeight="1" x14ac:dyDescent="0.25">
      <c r="B338" s="39"/>
      <c r="C338" s="39"/>
      <c r="D338" s="39"/>
      <c r="E338" s="39"/>
      <c r="F338" s="39"/>
      <c r="G338" s="39"/>
      <c r="H338" s="39"/>
    </row>
    <row r="339" spans="2:8" s="40" customFormat="1" ht="15.75" customHeight="1" x14ac:dyDescent="0.25">
      <c r="B339" s="39"/>
      <c r="C339" s="39"/>
      <c r="D339" s="39"/>
      <c r="E339" s="39"/>
      <c r="F339" s="39"/>
      <c r="G339" s="39"/>
      <c r="H339" s="39"/>
    </row>
    <row r="340" spans="2:8" s="40" customFormat="1" ht="15.75" customHeight="1" x14ac:dyDescent="0.25">
      <c r="B340" s="39"/>
      <c r="C340" s="39"/>
      <c r="D340" s="39"/>
      <c r="E340" s="39"/>
      <c r="F340" s="39"/>
      <c r="G340" s="39"/>
      <c r="H340" s="39"/>
    </row>
    <row r="341" spans="2:8" s="40" customFormat="1" ht="15.75" customHeight="1" x14ac:dyDescent="0.25">
      <c r="B341" s="39"/>
      <c r="C341" s="39"/>
      <c r="D341" s="39"/>
      <c r="E341" s="39"/>
      <c r="F341" s="39"/>
      <c r="G341" s="39"/>
      <c r="H341" s="39"/>
    </row>
    <row r="342" spans="2:8" s="40" customFormat="1" ht="15.75" customHeight="1" x14ac:dyDescent="0.25">
      <c r="B342" s="39"/>
      <c r="C342" s="39"/>
      <c r="D342" s="39"/>
      <c r="E342" s="39"/>
      <c r="F342" s="39"/>
      <c r="G342" s="39"/>
      <c r="H342" s="39"/>
    </row>
    <row r="343" spans="2:8" s="40" customFormat="1" ht="15.75" customHeight="1" x14ac:dyDescent="0.25">
      <c r="B343" s="39"/>
      <c r="C343" s="39"/>
      <c r="D343" s="39"/>
      <c r="E343" s="39"/>
      <c r="F343" s="39"/>
      <c r="G343" s="39"/>
      <c r="H343" s="39"/>
    </row>
    <row r="344" spans="2:8" s="40" customFormat="1" ht="15.75" customHeight="1" x14ac:dyDescent="0.25">
      <c r="B344" s="39"/>
      <c r="C344" s="39"/>
      <c r="D344" s="39"/>
      <c r="E344" s="39"/>
      <c r="F344" s="39"/>
      <c r="G344" s="39"/>
      <c r="H344" s="39"/>
    </row>
    <row r="345" spans="2:8" s="40" customFormat="1" ht="15.75" customHeight="1" x14ac:dyDescent="0.25">
      <c r="B345" s="39"/>
      <c r="C345" s="39"/>
      <c r="D345" s="39"/>
      <c r="E345" s="39"/>
      <c r="F345" s="39"/>
      <c r="G345" s="39"/>
      <c r="H345" s="39"/>
    </row>
    <row r="346" spans="2:8" s="40" customFormat="1" ht="15.75" customHeight="1" x14ac:dyDescent="0.25">
      <c r="B346" s="39"/>
      <c r="C346" s="39"/>
      <c r="D346" s="39"/>
      <c r="E346" s="39"/>
      <c r="F346" s="39"/>
      <c r="G346" s="39"/>
      <c r="H346" s="39"/>
    </row>
    <row r="347" spans="2:8" s="40" customFormat="1" ht="15.75" customHeight="1" x14ac:dyDescent="0.25">
      <c r="B347" s="39"/>
      <c r="C347" s="39"/>
      <c r="D347" s="39"/>
      <c r="E347" s="39"/>
      <c r="F347" s="39"/>
      <c r="G347" s="39"/>
      <c r="H347" s="39"/>
    </row>
    <row r="348" spans="2:8" s="40" customFormat="1" ht="15.75" customHeight="1" x14ac:dyDescent="0.25">
      <c r="B348" s="39"/>
      <c r="C348" s="39"/>
      <c r="D348" s="39"/>
      <c r="E348" s="39"/>
      <c r="F348" s="39"/>
      <c r="G348" s="39"/>
      <c r="H348" s="39"/>
    </row>
    <row r="349" spans="2:8" s="40" customFormat="1" ht="15.75" customHeight="1" x14ac:dyDescent="0.25">
      <c r="B349" s="39"/>
      <c r="C349" s="39"/>
      <c r="D349" s="39"/>
      <c r="E349" s="39"/>
      <c r="F349" s="39"/>
      <c r="G349" s="39"/>
      <c r="H349" s="39"/>
    </row>
    <row r="350" spans="2:8" s="40" customFormat="1" ht="15.75" customHeight="1" x14ac:dyDescent="0.25">
      <c r="B350" s="39"/>
      <c r="C350" s="39"/>
      <c r="D350" s="39"/>
      <c r="E350" s="39"/>
      <c r="F350" s="39"/>
      <c r="G350" s="39"/>
      <c r="H350" s="39"/>
    </row>
    <row r="351" spans="2:8" s="40" customFormat="1" ht="15.75" customHeight="1" x14ac:dyDescent="0.25">
      <c r="B351" s="39"/>
      <c r="C351" s="39"/>
      <c r="D351" s="39"/>
      <c r="E351" s="39"/>
      <c r="F351" s="39"/>
      <c r="G351" s="39"/>
      <c r="H351" s="39"/>
    </row>
    <row r="352" spans="2:8" s="40" customFormat="1" ht="15.75" customHeight="1" x14ac:dyDescent="0.25">
      <c r="B352" s="39"/>
      <c r="C352" s="39"/>
      <c r="D352" s="39"/>
      <c r="E352" s="39"/>
      <c r="F352" s="39"/>
      <c r="G352" s="39"/>
      <c r="H352" s="39"/>
    </row>
    <row r="353" spans="2:8" s="40" customFormat="1" ht="15.75" customHeight="1" x14ac:dyDescent="0.25">
      <c r="B353" s="39"/>
      <c r="C353" s="39"/>
      <c r="D353" s="39"/>
      <c r="E353" s="39"/>
      <c r="F353" s="39"/>
      <c r="G353" s="39"/>
      <c r="H353" s="39"/>
    </row>
    <row r="354" spans="2:8" s="40" customFormat="1" ht="15.75" customHeight="1" x14ac:dyDescent="0.25">
      <c r="B354" s="39"/>
      <c r="C354" s="39"/>
      <c r="D354" s="39"/>
      <c r="E354" s="39"/>
      <c r="F354" s="39"/>
      <c r="G354" s="39"/>
      <c r="H354" s="39"/>
    </row>
    <row r="355" spans="2:8" s="40" customFormat="1" ht="15.75" customHeight="1" x14ac:dyDescent="0.25">
      <c r="B355" s="39"/>
      <c r="C355" s="39"/>
      <c r="D355" s="39"/>
      <c r="E355" s="39"/>
      <c r="F355" s="39"/>
      <c r="G355" s="39"/>
      <c r="H355" s="39"/>
    </row>
    <row r="356" spans="2:8" s="40" customFormat="1" ht="15.75" customHeight="1" x14ac:dyDescent="0.25">
      <c r="B356" s="39"/>
      <c r="C356" s="39"/>
      <c r="D356" s="39"/>
      <c r="E356" s="39"/>
      <c r="F356" s="39"/>
      <c r="G356" s="39"/>
      <c r="H356" s="39"/>
    </row>
    <row r="357" spans="2:8" s="40" customFormat="1" ht="15.75" customHeight="1" x14ac:dyDescent="0.25">
      <c r="B357" s="39"/>
      <c r="C357" s="39"/>
      <c r="D357" s="39"/>
      <c r="E357" s="39"/>
      <c r="F357" s="39"/>
      <c r="G357" s="39"/>
      <c r="H357" s="39"/>
    </row>
    <row r="358" spans="2:8" s="40" customFormat="1" ht="15.75" customHeight="1" x14ac:dyDescent="0.25">
      <c r="B358" s="39"/>
      <c r="C358" s="39"/>
      <c r="D358" s="39"/>
      <c r="E358" s="39"/>
      <c r="F358" s="39"/>
      <c r="G358" s="39"/>
      <c r="H358" s="39"/>
    </row>
    <row r="359" spans="2:8" s="40" customFormat="1" ht="15.75" customHeight="1" x14ac:dyDescent="0.25">
      <c r="B359" s="39"/>
      <c r="C359" s="39"/>
      <c r="D359" s="39"/>
      <c r="E359" s="39"/>
      <c r="F359" s="39"/>
      <c r="G359" s="39"/>
      <c r="H359" s="39"/>
    </row>
    <row r="360" spans="2:8" s="40" customFormat="1" ht="15.75" customHeight="1" x14ac:dyDescent="0.25">
      <c r="B360" s="39"/>
      <c r="C360" s="39"/>
      <c r="D360" s="39"/>
      <c r="E360" s="39"/>
      <c r="F360" s="39"/>
      <c r="G360" s="39"/>
      <c r="H360" s="39"/>
    </row>
    <row r="361" spans="2:8" s="40" customFormat="1" ht="15.75" customHeight="1" x14ac:dyDescent="0.25">
      <c r="B361" s="39"/>
      <c r="C361" s="39"/>
      <c r="D361" s="39"/>
      <c r="E361" s="39"/>
      <c r="F361" s="39"/>
      <c r="G361" s="39"/>
      <c r="H361" s="39"/>
    </row>
    <row r="362" spans="2:8" s="40" customFormat="1" ht="15.75" customHeight="1" x14ac:dyDescent="0.25">
      <c r="B362" s="39"/>
      <c r="C362" s="39"/>
      <c r="D362" s="39"/>
      <c r="E362" s="39"/>
      <c r="F362" s="39"/>
      <c r="G362" s="39"/>
      <c r="H362" s="39"/>
    </row>
    <row r="363" spans="2:8" s="40" customFormat="1" ht="15.75" customHeight="1" x14ac:dyDescent="0.25">
      <c r="B363" s="39"/>
      <c r="C363" s="39"/>
      <c r="D363" s="39"/>
      <c r="E363" s="39"/>
      <c r="F363" s="39"/>
      <c r="G363" s="39"/>
      <c r="H363" s="39"/>
    </row>
    <row r="364" spans="2:8" s="40" customFormat="1" ht="15.75" customHeight="1" x14ac:dyDescent="0.25">
      <c r="B364" s="39"/>
      <c r="C364" s="39"/>
      <c r="D364" s="39"/>
      <c r="E364" s="39"/>
      <c r="F364" s="39"/>
      <c r="G364" s="39"/>
      <c r="H364" s="39"/>
    </row>
    <row r="365" spans="2:8" s="40" customFormat="1" ht="15.75" customHeight="1" x14ac:dyDescent="0.25">
      <c r="B365" s="39"/>
      <c r="C365" s="39"/>
      <c r="D365" s="39"/>
      <c r="E365" s="39"/>
      <c r="F365" s="39"/>
      <c r="G365" s="39"/>
      <c r="H365" s="39"/>
    </row>
    <row r="366" spans="2:8" s="40" customFormat="1" ht="15.75" customHeight="1" x14ac:dyDescent="0.25">
      <c r="B366" s="39"/>
      <c r="C366" s="39"/>
      <c r="D366" s="39"/>
      <c r="E366" s="39"/>
      <c r="F366" s="39"/>
      <c r="G366" s="39"/>
      <c r="H366" s="39"/>
    </row>
    <row r="367" spans="2:8" s="40" customFormat="1" ht="15.75" customHeight="1" x14ac:dyDescent="0.25">
      <c r="B367" s="39"/>
      <c r="C367" s="39"/>
      <c r="D367" s="39"/>
      <c r="E367" s="39"/>
      <c r="F367" s="39"/>
      <c r="G367" s="39"/>
      <c r="H367" s="39"/>
    </row>
    <row r="368" spans="2:8" s="40" customFormat="1" ht="15.75" customHeight="1" x14ac:dyDescent="0.25">
      <c r="B368" s="39"/>
      <c r="C368" s="39"/>
      <c r="D368" s="39"/>
      <c r="E368" s="39"/>
      <c r="F368" s="39"/>
      <c r="G368" s="39"/>
      <c r="H368" s="39"/>
    </row>
    <row r="369" spans="2:8" s="40" customFormat="1" ht="15.75" customHeight="1" x14ac:dyDescent="0.25">
      <c r="B369" s="39"/>
      <c r="C369" s="39"/>
      <c r="D369" s="39"/>
      <c r="E369" s="39"/>
      <c r="F369" s="39"/>
      <c r="G369" s="39"/>
      <c r="H369" s="39"/>
    </row>
    <row r="370" spans="2:8" s="40" customFormat="1" ht="15.75" customHeight="1" x14ac:dyDescent="0.25">
      <c r="B370" s="39"/>
      <c r="C370" s="39"/>
      <c r="D370" s="39"/>
      <c r="E370" s="39"/>
      <c r="F370" s="39"/>
      <c r="G370" s="39"/>
      <c r="H370" s="39"/>
    </row>
    <row r="371" spans="2:8" s="40" customFormat="1" ht="15.75" customHeight="1" x14ac:dyDescent="0.25">
      <c r="B371" s="39"/>
      <c r="C371" s="39"/>
      <c r="D371" s="39"/>
      <c r="E371" s="39"/>
      <c r="F371" s="39"/>
      <c r="G371" s="39"/>
      <c r="H371" s="39"/>
    </row>
    <row r="372" spans="2:8" s="40" customFormat="1" ht="15.75" customHeight="1" x14ac:dyDescent="0.25">
      <c r="B372" s="39"/>
      <c r="C372" s="39"/>
      <c r="D372" s="39"/>
      <c r="E372" s="39"/>
      <c r="F372" s="39"/>
      <c r="G372" s="39"/>
      <c r="H372" s="39"/>
    </row>
    <row r="373" spans="2:8" s="40" customFormat="1" ht="15.75" customHeight="1" x14ac:dyDescent="0.25">
      <c r="B373" s="39"/>
      <c r="C373" s="39"/>
      <c r="D373" s="39"/>
      <c r="E373" s="39"/>
      <c r="F373" s="39"/>
      <c r="G373" s="39"/>
      <c r="H373" s="39"/>
    </row>
    <row r="374" spans="2:8" s="40" customFormat="1" ht="15.75" customHeight="1" x14ac:dyDescent="0.25">
      <c r="B374" s="39"/>
      <c r="C374" s="39"/>
      <c r="D374" s="39"/>
      <c r="E374" s="39"/>
      <c r="F374" s="39"/>
      <c r="G374" s="39"/>
      <c r="H374" s="39"/>
    </row>
    <row r="375" spans="2:8" s="40" customFormat="1" ht="15.75" customHeight="1" x14ac:dyDescent="0.25">
      <c r="B375" s="39"/>
      <c r="C375" s="39"/>
      <c r="D375" s="39"/>
      <c r="E375" s="39"/>
      <c r="F375" s="39"/>
      <c r="G375" s="39"/>
      <c r="H375" s="39"/>
    </row>
    <row r="376" spans="2:8" s="40" customFormat="1" ht="15.75" customHeight="1" x14ac:dyDescent="0.25">
      <c r="B376" s="39"/>
      <c r="C376" s="39"/>
      <c r="D376" s="39"/>
      <c r="E376" s="39"/>
      <c r="F376" s="39"/>
      <c r="G376" s="39"/>
      <c r="H376" s="39"/>
    </row>
    <row r="377" spans="2:8" s="40" customFormat="1" ht="15.75" customHeight="1" x14ac:dyDescent="0.25">
      <c r="B377" s="39"/>
      <c r="C377" s="39"/>
      <c r="D377" s="39"/>
      <c r="E377" s="39"/>
      <c r="F377" s="39"/>
      <c r="G377" s="39"/>
      <c r="H377" s="39"/>
    </row>
    <row r="378" spans="2:8" s="40" customFormat="1" ht="15.75" customHeight="1" x14ac:dyDescent="0.25">
      <c r="B378" s="39"/>
      <c r="C378" s="39"/>
      <c r="D378" s="39"/>
      <c r="E378" s="39"/>
      <c r="F378" s="39"/>
      <c r="G378" s="39"/>
      <c r="H378" s="39"/>
    </row>
    <row r="379" spans="2:8" s="40" customFormat="1" ht="15.75" customHeight="1" x14ac:dyDescent="0.25">
      <c r="B379" s="39"/>
      <c r="C379" s="39"/>
      <c r="D379" s="39"/>
      <c r="E379" s="39"/>
      <c r="F379" s="39"/>
      <c r="G379" s="39"/>
      <c r="H379" s="39"/>
    </row>
    <row r="380" spans="2:8" s="40" customFormat="1" ht="15.75" customHeight="1" x14ac:dyDescent="0.25">
      <c r="B380" s="39"/>
      <c r="C380" s="39"/>
      <c r="D380" s="39"/>
      <c r="E380" s="39"/>
      <c r="F380" s="39"/>
      <c r="G380" s="39"/>
      <c r="H380" s="39"/>
    </row>
    <row r="381" spans="2:8" s="40" customFormat="1" ht="15.75" customHeight="1" x14ac:dyDescent="0.25">
      <c r="B381" s="39"/>
      <c r="C381" s="39"/>
      <c r="D381" s="39"/>
      <c r="E381" s="39"/>
      <c r="F381" s="39"/>
      <c r="G381" s="39"/>
      <c r="H381" s="39"/>
    </row>
    <row r="382" spans="2:8" s="40" customFormat="1" ht="15.75" customHeight="1" x14ac:dyDescent="0.25">
      <c r="B382" s="39"/>
      <c r="C382" s="39"/>
      <c r="D382" s="39"/>
      <c r="E382" s="39"/>
      <c r="F382" s="39"/>
      <c r="G382" s="39"/>
      <c r="H382" s="39"/>
    </row>
    <row r="383" spans="2:8" s="40" customFormat="1" ht="15.75" customHeight="1" x14ac:dyDescent="0.25">
      <c r="B383" s="39"/>
      <c r="C383" s="39"/>
      <c r="D383" s="39"/>
      <c r="E383" s="39"/>
      <c r="F383" s="39"/>
      <c r="G383" s="39"/>
      <c r="H383" s="39"/>
    </row>
    <row r="384" spans="2:8" s="40" customFormat="1" ht="15.75" customHeight="1" x14ac:dyDescent="0.25">
      <c r="B384" s="39"/>
      <c r="C384" s="39"/>
      <c r="D384" s="39"/>
      <c r="E384" s="39"/>
      <c r="F384" s="39"/>
      <c r="G384" s="39"/>
      <c r="H384" s="39"/>
    </row>
    <row r="385" spans="2:8" s="40" customFormat="1" ht="15.75" customHeight="1" x14ac:dyDescent="0.25">
      <c r="B385" s="39"/>
      <c r="C385" s="39"/>
      <c r="D385" s="39"/>
      <c r="E385" s="39"/>
      <c r="F385" s="39"/>
      <c r="G385" s="39"/>
      <c r="H385" s="39"/>
    </row>
    <row r="386" spans="2:8" s="40" customFormat="1" ht="15.75" customHeight="1" x14ac:dyDescent="0.25">
      <c r="B386" s="39"/>
      <c r="C386" s="39"/>
      <c r="D386" s="39"/>
      <c r="E386" s="39"/>
      <c r="F386" s="39"/>
      <c r="G386" s="39"/>
      <c r="H386" s="39"/>
    </row>
    <row r="387" spans="2:8" s="40" customFormat="1" ht="15.75" customHeight="1" x14ac:dyDescent="0.25">
      <c r="B387" s="39"/>
      <c r="C387" s="39"/>
      <c r="D387" s="39"/>
      <c r="E387" s="39"/>
      <c r="F387" s="39"/>
      <c r="G387" s="39"/>
      <c r="H387" s="39"/>
    </row>
    <row r="388" spans="2:8" s="40" customFormat="1" ht="15.75" customHeight="1" x14ac:dyDescent="0.25">
      <c r="B388" s="39"/>
      <c r="C388" s="39"/>
      <c r="D388" s="39"/>
      <c r="E388" s="39"/>
      <c r="F388" s="39"/>
      <c r="G388" s="39"/>
      <c r="H388" s="39"/>
    </row>
    <row r="389" spans="2:8" s="40" customFormat="1" ht="15.75" customHeight="1" x14ac:dyDescent="0.25">
      <c r="B389" s="39"/>
      <c r="C389" s="39"/>
      <c r="D389" s="39"/>
      <c r="E389" s="39"/>
      <c r="F389" s="39"/>
      <c r="G389" s="39"/>
      <c r="H389" s="39"/>
    </row>
    <row r="390" spans="2:8" s="40" customFormat="1" ht="15.75" customHeight="1" x14ac:dyDescent="0.25">
      <c r="B390" s="39"/>
      <c r="C390" s="39"/>
      <c r="D390" s="39"/>
      <c r="E390" s="39"/>
      <c r="F390" s="39"/>
      <c r="G390" s="39"/>
      <c r="H390" s="39"/>
    </row>
    <row r="391" spans="2:8" s="40" customFormat="1" ht="15.75" customHeight="1" x14ac:dyDescent="0.25">
      <c r="B391" s="39"/>
      <c r="C391" s="39"/>
      <c r="D391" s="39"/>
      <c r="E391" s="39"/>
      <c r="F391" s="39"/>
      <c r="G391" s="39"/>
      <c r="H391" s="39"/>
    </row>
    <row r="392" spans="2:8" s="40" customFormat="1" ht="15.75" customHeight="1" x14ac:dyDescent="0.25">
      <c r="B392" s="39"/>
      <c r="C392" s="39"/>
      <c r="D392" s="39"/>
      <c r="E392" s="39"/>
      <c r="F392" s="39"/>
      <c r="G392" s="39"/>
      <c r="H392" s="39"/>
    </row>
    <row r="393" spans="2:8" s="40" customFormat="1" ht="15.75" customHeight="1" x14ac:dyDescent="0.25">
      <c r="B393" s="39"/>
      <c r="C393" s="39"/>
      <c r="D393" s="39"/>
      <c r="E393" s="39"/>
      <c r="F393" s="39"/>
      <c r="G393" s="39"/>
      <c r="H393" s="39"/>
    </row>
    <row r="394" spans="2:8" s="40" customFormat="1" ht="15.75" customHeight="1" x14ac:dyDescent="0.25">
      <c r="B394" s="39"/>
      <c r="C394" s="39"/>
      <c r="D394" s="39"/>
      <c r="E394" s="39"/>
      <c r="F394" s="39"/>
      <c r="G394" s="39"/>
      <c r="H394" s="39"/>
    </row>
    <row r="395" spans="2:8" s="40" customFormat="1" ht="15.75" customHeight="1" x14ac:dyDescent="0.25">
      <c r="B395" s="39"/>
      <c r="C395" s="39"/>
      <c r="D395" s="39"/>
      <c r="E395" s="39"/>
      <c r="F395" s="39"/>
      <c r="G395" s="39"/>
      <c r="H395" s="39"/>
    </row>
    <row r="396" spans="2:8" s="40" customFormat="1" ht="15.75" customHeight="1" x14ac:dyDescent="0.25">
      <c r="B396" s="39"/>
      <c r="C396" s="39"/>
      <c r="D396" s="39"/>
      <c r="E396" s="39"/>
      <c r="F396" s="39"/>
      <c r="G396" s="39"/>
      <c r="H396" s="39"/>
    </row>
    <row r="397" spans="2:8" s="40" customFormat="1" ht="15.75" customHeight="1" x14ac:dyDescent="0.25">
      <c r="B397" s="39"/>
      <c r="C397" s="39"/>
      <c r="D397" s="39"/>
      <c r="E397" s="39"/>
      <c r="F397" s="39"/>
      <c r="G397" s="39"/>
      <c r="H397" s="39"/>
    </row>
    <row r="398" spans="2:8" s="40" customFormat="1" ht="15.75" customHeight="1" x14ac:dyDescent="0.25">
      <c r="B398" s="39"/>
      <c r="C398" s="39"/>
      <c r="D398" s="39"/>
      <c r="E398" s="39"/>
      <c r="F398" s="39"/>
      <c r="G398" s="39"/>
      <c r="H398" s="39"/>
    </row>
    <row r="399" spans="2:8" s="40" customFormat="1" ht="15.75" customHeight="1" x14ac:dyDescent="0.25">
      <c r="B399" s="39"/>
      <c r="C399" s="39"/>
      <c r="D399" s="39"/>
      <c r="E399" s="39"/>
      <c r="F399" s="39"/>
      <c r="G399" s="39"/>
      <c r="H399" s="39"/>
    </row>
    <row r="400" spans="2:8" s="40" customFormat="1" ht="15.75" customHeight="1" x14ac:dyDescent="0.25">
      <c r="B400" s="39"/>
      <c r="C400" s="39"/>
      <c r="D400" s="39"/>
      <c r="E400" s="39"/>
      <c r="F400" s="39"/>
      <c r="G400" s="39"/>
      <c r="H400" s="39"/>
    </row>
    <row r="401" spans="2:8" s="40" customFormat="1" ht="15.75" customHeight="1" x14ac:dyDescent="0.25">
      <c r="B401" s="39"/>
      <c r="C401" s="39"/>
      <c r="D401" s="39"/>
      <c r="E401" s="39"/>
      <c r="F401" s="39"/>
      <c r="G401" s="39"/>
      <c r="H401" s="39"/>
    </row>
    <row r="402" spans="2:8" s="40" customFormat="1" ht="15.75" customHeight="1" x14ac:dyDescent="0.25">
      <c r="B402" s="39"/>
      <c r="C402" s="39"/>
      <c r="D402" s="39"/>
      <c r="E402" s="39"/>
      <c r="F402" s="39"/>
      <c r="G402" s="39"/>
      <c r="H402" s="39"/>
    </row>
    <row r="403" spans="2:8" s="40" customFormat="1" ht="15.75" customHeight="1" x14ac:dyDescent="0.25">
      <c r="B403" s="39"/>
      <c r="C403" s="39"/>
      <c r="D403" s="39"/>
      <c r="E403" s="39"/>
      <c r="F403" s="39"/>
      <c r="G403" s="39"/>
      <c r="H403" s="39"/>
    </row>
    <row r="404" spans="2:8" s="40" customFormat="1" ht="15.75" customHeight="1" x14ac:dyDescent="0.25">
      <c r="B404" s="39"/>
      <c r="C404" s="39"/>
      <c r="D404" s="39"/>
      <c r="E404" s="39"/>
      <c r="F404" s="39"/>
      <c r="G404" s="39"/>
      <c r="H404" s="39"/>
    </row>
    <row r="405" spans="2:8" s="40" customFormat="1" ht="15.75" customHeight="1" x14ac:dyDescent="0.25">
      <c r="B405" s="39"/>
      <c r="C405" s="39"/>
      <c r="D405" s="39"/>
      <c r="E405" s="39"/>
      <c r="F405" s="39"/>
      <c r="G405" s="39"/>
      <c r="H405" s="39"/>
    </row>
    <row r="406" spans="2:8" s="40" customFormat="1" ht="15.75" customHeight="1" x14ac:dyDescent="0.25">
      <c r="B406" s="39"/>
      <c r="C406" s="39"/>
      <c r="D406" s="39"/>
      <c r="E406" s="39"/>
      <c r="F406" s="39"/>
      <c r="G406" s="39"/>
      <c r="H406" s="39"/>
    </row>
    <row r="407" spans="2:8" s="40" customFormat="1" ht="15.75" customHeight="1" x14ac:dyDescent="0.25">
      <c r="B407" s="39"/>
      <c r="C407" s="39"/>
      <c r="D407" s="39"/>
      <c r="E407" s="39"/>
      <c r="F407" s="39"/>
      <c r="G407" s="39"/>
      <c r="H407" s="39"/>
    </row>
    <row r="408" spans="2:8" s="40" customFormat="1" ht="15.75" customHeight="1" x14ac:dyDescent="0.25">
      <c r="B408" s="39"/>
      <c r="C408" s="39"/>
      <c r="D408" s="39"/>
      <c r="E408" s="39"/>
      <c r="F408" s="39"/>
      <c r="G408" s="39"/>
      <c r="H408" s="39"/>
    </row>
    <row r="409" spans="2:8" s="40" customFormat="1" ht="15.75" customHeight="1" x14ac:dyDescent="0.25">
      <c r="B409" s="39"/>
      <c r="C409" s="39"/>
      <c r="D409" s="39"/>
      <c r="E409" s="39"/>
      <c r="F409" s="39"/>
      <c r="G409" s="39"/>
      <c r="H409" s="39"/>
    </row>
    <row r="410" spans="2:8" s="40" customFormat="1" ht="15.75" customHeight="1" x14ac:dyDescent="0.25">
      <c r="B410" s="39"/>
      <c r="C410" s="39"/>
      <c r="D410" s="39"/>
      <c r="E410" s="39"/>
      <c r="F410" s="39"/>
      <c r="G410" s="39"/>
      <c r="H410" s="39"/>
    </row>
    <row r="411" spans="2:8" s="40" customFormat="1" ht="15.75" customHeight="1" x14ac:dyDescent="0.25">
      <c r="B411" s="39"/>
      <c r="C411" s="39"/>
      <c r="D411" s="39"/>
      <c r="E411" s="39"/>
      <c r="F411" s="39"/>
      <c r="G411" s="39"/>
      <c r="H411" s="39"/>
    </row>
    <row r="412" spans="2:8" s="40" customFormat="1" ht="15.75" customHeight="1" x14ac:dyDescent="0.25">
      <c r="B412" s="39"/>
      <c r="C412" s="39"/>
      <c r="D412" s="39"/>
      <c r="E412" s="39"/>
      <c r="F412" s="39"/>
      <c r="G412" s="39"/>
      <c r="H412" s="39"/>
    </row>
    <row r="413" spans="2:8" s="40" customFormat="1" ht="15.75" customHeight="1" x14ac:dyDescent="0.25">
      <c r="B413" s="39"/>
      <c r="C413" s="39"/>
      <c r="D413" s="39"/>
      <c r="E413" s="39"/>
      <c r="F413" s="39"/>
      <c r="G413" s="39"/>
      <c r="H413" s="39"/>
    </row>
    <row r="414" spans="2:8" s="40" customFormat="1" ht="15.75" customHeight="1" x14ac:dyDescent="0.25">
      <c r="B414" s="39"/>
      <c r="C414" s="39"/>
      <c r="D414" s="39"/>
      <c r="E414" s="39"/>
      <c r="F414" s="39"/>
      <c r="G414" s="39"/>
      <c r="H414" s="39"/>
    </row>
    <row r="415" spans="2:8" s="40" customFormat="1" ht="15.75" customHeight="1" x14ac:dyDescent="0.25">
      <c r="B415" s="39"/>
      <c r="C415" s="39"/>
      <c r="D415" s="39"/>
      <c r="E415" s="39"/>
      <c r="F415" s="39"/>
      <c r="G415" s="39"/>
      <c r="H415" s="39"/>
    </row>
    <row r="416" spans="2:8" s="40" customFormat="1" ht="15.75" customHeight="1" x14ac:dyDescent="0.25">
      <c r="B416" s="39"/>
      <c r="C416" s="39"/>
      <c r="D416" s="39"/>
      <c r="E416" s="39"/>
      <c r="F416" s="39"/>
      <c r="G416" s="39"/>
      <c r="H416" s="39"/>
    </row>
    <row r="417" spans="2:8" s="40" customFormat="1" ht="15.75" customHeight="1" x14ac:dyDescent="0.25">
      <c r="B417" s="39"/>
      <c r="C417" s="39"/>
      <c r="D417" s="39"/>
      <c r="E417" s="39"/>
      <c r="F417" s="39"/>
      <c r="G417" s="39"/>
      <c r="H417" s="39"/>
    </row>
    <row r="418" spans="2:8" s="40" customFormat="1" ht="15.75" customHeight="1" x14ac:dyDescent="0.25">
      <c r="B418" s="39"/>
      <c r="C418" s="39"/>
      <c r="D418" s="39"/>
      <c r="E418" s="39"/>
      <c r="F418" s="39"/>
      <c r="G418" s="39"/>
      <c r="H418" s="39"/>
    </row>
    <row r="419" spans="2:8" s="40" customFormat="1" ht="15.75" customHeight="1" x14ac:dyDescent="0.25">
      <c r="B419" s="39"/>
      <c r="C419" s="39"/>
      <c r="D419" s="39"/>
      <c r="E419" s="39"/>
      <c r="F419" s="39"/>
      <c r="G419" s="39"/>
      <c r="H419" s="39"/>
    </row>
    <row r="420" spans="2:8" s="40" customFormat="1" ht="15.75" customHeight="1" x14ac:dyDescent="0.25">
      <c r="B420" s="39"/>
      <c r="C420" s="39"/>
      <c r="D420" s="39"/>
      <c r="E420" s="39"/>
      <c r="F420" s="39"/>
      <c r="G420" s="39"/>
      <c r="H420" s="39"/>
    </row>
    <row r="421" spans="2:8" s="40" customFormat="1" ht="15.75" customHeight="1" x14ac:dyDescent="0.25">
      <c r="B421" s="39"/>
      <c r="C421" s="39"/>
      <c r="D421" s="39"/>
      <c r="E421" s="39"/>
      <c r="F421" s="39"/>
      <c r="G421" s="39"/>
      <c r="H421" s="39"/>
    </row>
    <row r="422" spans="2:8" s="40" customFormat="1" ht="15.75" customHeight="1" x14ac:dyDescent="0.25">
      <c r="B422" s="39"/>
      <c r="C422" s="39"/>
      <c r="D422" s="39"/>
      <c r="E422" s="39"/>
      <c r="F422" s="39"/>
      <c r="G422" s="39"/>
      <c r="H422" s="39"/>
    </row>
    <row r="423" spans="2:8" s="40" customFormat="1" ht="15.75" customHeight="1" x14ac:dyDescent="0.25">
      <c r="B423" s="39"/>
      <c r="C423" s="39"/>
      <c r="D423" s="39"/>
      <c r="E423" s="39"/>
      <c r="F423" s="39"/>
      <c r="G423" s="39"/>
      <c r="H423" s="39"/>
    </row>
    <row r="424" spans="2:8" s="40" customFormat="1" ht="15.75" customHeight="1" x14ac:dyDescent="0.25">
      <c r="B424" s="39"/>
      <c r="C424" s="39"/>
      <c r="D424" s="39"/>
      <c r="E424" s="39"/>
      <c r="F424" s="39"/>
      <c r="G424" s="39"/>
      <c r="H424" s="39"/>
    </row>
    <row r="425" spans="2:8" s="40" customFormat="1" ht="15.75" customHeight="1" x14ac:dyDescent="0.25">
      <c r="B425" s="39"/>
      <c r="C425" s="39"/>
      <c r="D425" s="39"/>
      <c r="E425" s="39"/>
      <c r="F425" s="39"/>
      <c r="G425" s="39"/>
      <c r="H425" s="39"/>
    </row>
    <row r="426" spans="2:8" s="40" customFormat="1" ht="15.75" customHeight="1" x14ac:dyDescent="0.25">
      <c r="B426" s="39"/>
      <c r="C426" s="39"/>
      <c r="D426" s="39"/>
      <c r="E426" s="39"/>
      <c r="F426" s="39"/>
      <c r="G426" s="39"/>
      <c r="H426" s="39"/>
    </row>
    <row r="427" spans="2:8" s="40" customFormat="1" ht="15.75" customHeight="1" x14ac:dyDescent="0.25">
      <c r="B427" s="39"/>
      <c r="C427" s="39"/>
      <c r="D427" s="39"/>
      <c r="E427" s="39"/>
      <c r="F427" s="39"/>
      <c r="G427" s="39"/>
      <c r="H427" s="39"/>
    </row>
    <row r="428" spans="2:8" s="40" customFormat="1" ht="15.75" customHeight="1" x14ac:dyDescent="0.25">
      <c r="B428" s="39"/>
      <c r="C428" s="39"/>
      <c r="D428" s="39"/>
      <c r="E428" s="39"/>
      <c r="F428" s="39"/>
      <c r="G428" s="39"/>
      <c r="H428" s="39"/>
    </row>
    <row r="429" spans="2:8" s="40" customFormat="1" ht="15.75" customHeight="1" x14ac:dyDescent="0.25">
      <c r="B429" s="39"/>
      <c r="C429" s="39"/>
      <c r="D429" s="39"/>
      <c r="E429" s="39"/>
      <c r="F429" s="39"/>
      <c r="G429" s="39"/>
      <c r="H429" s="39"/>
    </row>
    <row r="430" spans="2:8" s="40" customFormat="1" ht="15.75" customHeight="1" x14ac:dyDescent="0.25">
      <c r="B430" s="39"/>
      <c r="C430" s="39"/>
      <c r="D430" s="39"/>
      <c r="E430" s="39"/>
      <c r="F430" s="39"/>
      <c r="G430" s="39"/>
      <c r="H430" s="39"/>
    </row>
    <row r="431" spans="2:8" s="40" customFormat="1" ht="15.75" customHeight="1" x14ac:dyDescent="0.25">
      <c r="B431" s="39"/>
      <c r="C431" s="39"/>
      <c r="D431" s="39"/>
      <c r="E431" s="39"/>
      <c r="F431" s="39"/>
      <c r="G431" s="39"/>
      <c r="H431" s="39"/>
    </row>
    <row r="432" spans="2:8" s="40" customFormat="1" ht="15.75" customHeight="1" x14ac:dyDescent="0.25">
      <c r="B432" s="39"/>
      <c r="C432" s="39"/>
      <c r="D432" s="39"/>
      <c r="E432" s="39"/>
      <c r="F432" s="39"/>
      <c r="G432" s="39"/>
      <c r="H432" s="39"/>
    </row>
    <row r="433" spans="2:8" s="40" customFormat="1" ht="15.75" customHeight="1" x14ac:dyDescent="0.25">
      <c r="B433" s="39"/>
      <c r="C433" s="39"/>
      <c r="D433" s="39"/>
      <c r="E433" s="39"/>
      <c r="F433" s="39"/>
      <c r="G433" s="39"/>
      <c r="H433" s="39"/>
    </row>
    <row r="434" spans="2:8" s="40" customFormat="1" ht="15.75" customHeight="1" x14ac:dyDescent="0.25">
      <c r="B434" s="39"/>
      <c r="C434" s="39"/>
      <c r="D434" s="39"/>
      <c r="E434" s="39"/>
      <c r="F434" s="39"/>
      <c r="G434" s="39"/>
      <c r="H434" s="39"/>
    </row>
    <row r="435" spans="2:8" s="40" customFormat="1" ht="15.75" customHeight="1" x14ac:dyDescent="0.25">
      <c r="B435" s="39"/>
      <c r="C435" s="39"/>
      <c r="D435" s="39"/>
      <c r="E435" s="39"/>
      <c r="F435" s="39"/>
      <c r="G435" s="39"/>
      <c r="H435" s="39"/>
    </row>
    <row r="436" spans="2:8" s="40" customFormat="1" ht="15.75" customHeight="1" x14ac:dyDescent="0.25">
      <c r="B436" s="39"/>
      <c r="C436" s="39"/>
      <c r="D436" s="39"/>
      <c r="E436" s="39"/>
      <c r="F436" s="39"/>
      <c r="G436" s="39"/>
      <c r="H436" s="39"/>
    </row>
    <row r="437" spans="2:8" s="40" customFormat="1" ht="15.75" customHeight="1" x14ac:dyDescent="0.25">
      <c r="B437" s="39"/>
      <c r="C437" s="39"/>
      <c r="D437" s="39"/>
      <c r="E437" s="39"/>
      <c r="F437" s="39"/>
      <c r="G437" s="39"/>
      <c r="H437" s="39"/>
    </row>
    <row r="438" spans="2:8" s="40" customFormat="1" ht="15.75" customHeight="1" x14ac:dyDescent="0.25">
      <c r="B438" s="39"/>
      <c r="C438" s="39"/>
      <c r="D438" s="39"/>
      <c r="E438" s="39"/>
      <c r="F438" s="39"/>
      <c r="G438" s="39"/>
      <c r="H438" s="39"/>
    </row>
    <row r="439" spans="2:8" s="40" customFormat="1" ht="15.75" customHeight="1" x14ac:dyDescent="0.25">
      <c r="B439" s="39"/>
      <c r="C439" s="39"/>
      <c r="D439" s="39"/>
      <c r="E439" s="39"/>
      <c r="F439" s="39"/>
      <c r="G439" s="39"/>
      <c r="H439" s="39"/>
    </row>
    <row r="440" spans="2:8" s="40" customFormat="1" ht="15.75" customHeight="1" x14ac:dyDescent="0.25">
      <c r="B440" s="39"/>
      <c r="C440" s="39"/>
      <c r="D440" s="39"/>
      <c r="E440" s="39"/>
      <c r="F440" s="39"/>
      <c r="G440" s="39"/>
      <c r="H440" s="39"/>
    </row>
    <row r="441" spans="2:8" s="40" customFormat="1" ht="15.75" customHeight="1" x14ac:dyDescent="0.25">
      <c r="B441" s="39"/>
      <c r="C441" s="39"/>
      <c r="D441" s="39"/>
      <c r="E441" s="39"/>
      <c r="F441" s="39"/>
      <c r="G441" s="39"/>
      <c r="H441" s="39"/>
    </row>
    <row r="442" spans="2:8" s="40" customFormat="1" ht="15.75" customHeight="1" x14ac:dyDescent="0.25">
      <c r="B442" s="39"/>
      <c r="C442" s="39"/>
      <c r="D442" s="39"/>
      <c r="E442" s="39"/>
      <c r="F442" s="39"/>
      <c r="G442" s="39"/>
      <c r="H442" s="39"/>
    </row>
    <row r="443" spans="2:8" s="40" customFormat="1" ht="15.75" customHeight="1" x14ac:dyDescent="0.25">
      <c r="B443" s="39"/>
      <c r="C443" s="39"/>
      <c r="D443" s="39"/>
      <c r="E443" s="39"/>
      <c r="F443" s="39"/>
      <c r="G443" s="39"/>
      <c r="H443" s="39"/>
    </row>
    <row r="444" spans="2:8" s="40" customFormat="1" ht="15.75" customHeight="1" x14ac:dyDescent="0.25">
      <c r="B444" s="39"/>
      <c r="C444" s="39"/>
      <c r="D444" s="39"/>
      <c r="E444" s="39"/>
      <c r="F444" s="39"/>
      <c r="G444" s="39"/>
      <c r="H444" s="39"/>
    </row>
    <row r="445" spans="2:8" s="40" customFormat="1" ht="15.75" customHeight="1" x14ac:dyDescent="0.25">
      <c r="B445" s="39"/>
      <c r="C445" s="39"/>
      <c r="D445" s="39"/>
      <c r="E445" s="39"/>
      <c r="F445" s="39"/>
      <c r="G445" s="39"/>
      <c r="H445" s="39"/>
    </row>
    <row r="446" spans="2:8" s="40" customFormat="1" ht="15.75" customHeight="1" x14ac:dyDescent="0.25">
      <c r="B446" s="39"/>
      <c r="C446" s="39"/>
      <c r="D446" s="39"/>
      <c r="E446" s="39"/>
      <c r="F446" s="39"/>
      <c r="G446" s="39"/>
      <c r="H446" s="39"/>
    </row>
    <row r="447" spans="2:8" s="40" customFormat="1" ht="15.75" customHeight="1" x14ac:dyDescent="0.25">
      <c r="B447" s="39"/>
      <c r="C447" s="39"/>
      <c r="D447" s="39"/>
      <c r="E447" s="39"/>
      <c r="F447" s="39"/>
      <c r="G447" s="39"/>
      <c r="H447" s="39"/>
    </row>
    <row r="448" spans="2:8" s="40" customFormat="1" ht="15.75" customHeight="1" x14ac:dyDescent="0.25">
      <c r="B448" s="39"/>
      <c r="C448" s="39"/>
      <c r="D448" s="39"/>
      <c r="E448" s="39"/>
      <c r="F448" s="39"/>
      <c r="G448" s="39"/>
      <c r="H448" s="39"/>
    </row>
    <row r="449" spans="2:8" s="40" customFormat="1" ht="15.75" customHeight="1" x14ac:dyDescent="0.25">
      <c r="B449" s="39"/>
      <c r="C449" s="39"/>
      <c r="D449" s="39"/>
      <c r="E449" s="39"/>
      <c r="F449" s="39"/>
      <c r="G449" s="39"/>
      <c r="H449" s="39"/>
    </row>
    <row r="450" spans="2:8" s="40" customFormat="1" ht="15.75" customHeight="1" x14ac:dyDescent="0.25">
      <c r="B450" s="39"/>
      <c r="C450" s="39"/>
      <c r="D450" s="39"/>
      <c r="E450" s="39"/>
      <c r="F450" s="39"/>
      <c r="G450" s="39"/>
      <c r="H450" s="39"/>
    </row>
    <row r="451" spans="2:8" s="40" customFormat="1" ht="15.75" customHeight="1" x14ac:dyDescent="0.25">
      <c r="B451" s="39"/>
      <c r="C451" s="39"/>
      <c r="D451" s="39"/>
      <c r="E451" s="39"/>
      <c r="F451" s="39"/>
      <c r="G451" s="39"/>
      <c r="H451" s="39"/>
    </row>
    <row r="452" spans="2:8" s="40" customFormat="1" ht="15.75" customHeight="1" x14ac:dyDescent="0.25">
      <c r="B452" s="39"/>
      <c r="C452" s="39"/>
      <c r="D452" s="39"/>
      <c r="E452" s="39"/>
      <c r="F452" s="39"/>
      <c r="G452" s="39"/>
      <c r="H452" s="39"/>
    </row>
    <row r="453" spans="2:8" s="40" customFormat="1" ht="15.75" customHeight="1" x14ac:dyDescent="0.25">
      <c r="B453" s="39"/>
      <c r="C453" s="39"/>
      <c r="D453" s="39"/>
      <c r="E453" s="39"/>
      <c r="F453" s="39"/>
      <c r="G453" s="39"/>
      <c r="H453" s="39"/>
    </row>
    <row r="454" spans="2:8" s="40" customFormat="1" ht="15.75" customHeight="1" x14ac:dyDescent="0.25">
      <c r="B454" s="39"/>
      <c r="C454" s="39"/>
      <c r="D454" s="39"/>
      <c r="E454" s="39"/>
      <c r="F454" s="39"/>
      <c r="G454" s="39"/>
      <c r="H454" s="39"/>
    </row>
    <row r="455" spans="2:8" s="40" customFormat="1" ht="15.75" customHeight="1" x14ac:dyDescent="0.25">
      <c r="B455" s="39"/>
      <c r="C455" s="39"/>
      <c r="D455" s="39"/>
      <c r="E455" s="39"/>
      <c r="F455" s="39"/>
      <c r="G455" s="39"/>
      <c r="H455" s="39"/>
    </row>
    <row r="456" spans="2:8" s="40" customFormat="1" ht="15.75" customHeight="1" x14ac:dyDescent="0.25">
      <c r="B456" s="39"/>
      <c r="C456" s="39"/>
      <c r="D456" s="39"/>
      <c r="E456" s="39"/>
      <c r="F456" s="39"/>
      <c r="G456" s="39"/>
      <c r="H456" s="39"/>
    </row>
    <row r="457" spans="2:8" s="40" customFormat="1" ht="15.75" customHeight="1" x14ac:dyDescent="0.25">
      <c r="B457" s="39"/>
      <c r="C457" s="39"/>
      <c r="D457" s="39"/>
      <c r="E457" s="39"/>
      <c r="F457" s="39"/>
      <c r="G457" s="39"/>
      <c r="H457" s="39"/>
    </row>
    <row r="458" spans="2:8" s="40" customFormat="1" ht="15.75" customHeight="1" x14ac:dyDescent="0.25">
      <c r="B458" s="39"/>
      <c r="C458" s="39"/>
      <c r="D458" s="39"/>
      <c r="E458" s="39"/>
      <c r="F458" s="39"/>
      <c r="G458" s="39"/>
      <c r="H458" s="39"/>
    </row>
    <row r="459" spans="2:8" s="40" customFormat="1" ht="15.75" customHeight="1" x14ac:dyDescent="0.25">
      <c r="B459" s="39"/>
      <c r="C459" s="39"/>
      <c r="D459" s="39"/>
      <c r="E459" s="39"/>
      <c r="F459" s="39"/>
      <c r="G459" s="39"/>
      <c r="H459" s="39"/>
    </row>
    <row r="460" spans="2:8" s="40" customFormat="1" ht="15.75" customHeight="1" x14ac:dyDescent="0.25">
      <c r="B460" s="39"/>
      <c r="C460" s="39"/>
      <c r="D460" s="39"/>
      <c r="E460" s="39"/>
      <c r="F460" s="39"/>
      <c r="G460" s="39"/>
      <c r="H460" s="39"/>
    </row>
    <row r="461" spans="2:8" s="40" customFormat="1" ht="15.75" customHeight="1" x14ac:dyDescent="0.25">
      <c r="B461" s="39"/>
      <c r="C461" s="39"/>
      <c r="D461" s="39"/>
      <c r="E461" s="39"/>
      <c r="F461" s="39"/>
      <c r="G461" s="39"/>
      <c r="H461" s="39"/>
    </row>
    <row r="462" spans="2:8" s="40" customFormat="1" ht="15.75" customHeight="1" x14ac:dyDescent="0.25">
      <c r="B462" s="39"/>
      <c r="C462" s="39"/>
      <c r="D462" s="39"/>
      <c r="E462" s="39"/>
      <c r="F462" s="39"/>
      <c r="G462" s="39"/>
      <c r="H462" s="39"/>
    </row>
    <row r="463" spans="2:8" s="40" customFormat="1" ht="15.75" customHeight="1" x14ac:dyDescent="0.25">
      <c r="B463" s="39"/>
      <c r="C463" s="39"/>
      <c r="D463" s="39"/>
      <c r="E463" s="39"/>
      <c r="F463" s="39"/>
      <c r="G463" s="39"/>
      <c r="H463" s="39"/>
    </row>
    <row r="464" spans="2:8" s="40" customFormat="1" ht="15.75" customHeight="1" x14ac:dyDescent="0.25">
      <c r="B464" s="39"/>
      <c r="C464" s="39"/>
      <c r="D464" s="39"/>
      <c r="E464" s="39"/>
      <c r="F464" s="39"/>
      <c r="G464" s="39"/>
      <c r="H464" s="39"/>
    </row>
    <row r="465" spans="2:8" s="40" customFormat="1" ht="15.75" customHeight="1" x14ac:dyDescent="0.25">
      <c r="B465" s="39"/>
      <c r="C465" s="39"/>
      <c r="D465" s="39"/>
      <c r="E465" s="39"/>
      <c r="F465" s="39"/>
      <c r="G465" s="39"/>
      <c r="H465" s="39"/>
    </row>
    <row r="466" spans="2:8" s="40" customFormat="1" ht="15.75" customHeight="1" x14ac:dyDescent="0.25">
      <c r="B466" s="39"/>
      <c r="C466" s="39"/>
      <c r="D466" s="39"/>
      <c r="E466" s="39"/>
      <c r="F466" s="39"/>
      <c r="G466" s="39"/>
      <c r="H466" s="39"/>
    </row>
    <row r="467" spans="2:8" s="40" customFormat="1" ht="15.75" customHeight="1" x14ac:dyDescent="0.25">
      <c r="B467" s="39"/>
      <c r="C467" s="39"/>
      <c r="D467" s="39"/>
      <c r="E467" s="39"/>
      <c r="F467" s="39"/>
      <c r="G467" s="39"/>
      <c r="H467" s="39"/>
    </row>
    <row r="468" spans="2:8" s="40" customFormat="1" ht="15.75" customHeight="1" x14ac:dyDescent="0.25">
      <c r="B468" s="39"/>
      <c r="C468" s="39"/>
      <c r="D468" s="39"/>
      <c r="E468" s="39"/>
      <c r="F468" s="39"/>
      <c r="G468" s="39"/>
      <c r="H468" s="39"/>
    </row>
    <row r="469" spans="2:8" s="40" customFormat="1" ht="15.75" customHeight="1" x14ac:dyDescent="0.25">
      <c r="B469" s="39"/>
      <c r="C469" s="39"/>
      <c r="D469" s="39"/>
      <c r="E469" s="39"/>
      <c r="F469" s="39"/>
      <c r="G469" s="39"/>
      <c r="H469" s="39"/>
    </row>
    <row r="470" spans="2:8" s="40" customFormat="1" ht="15.75" customHeight="1" x14ac:dyDescent="0.25">
      <c r="B470" s="39"/>
      <c r="C470" s="39"/>
      <c r="D470" s="39"/>
      <c r="E470" s="39"/>
      <c r="F470" s="39"/>
      <c r="G470" s="39"/>
      <c r="H470" s="39"/>
    </row>
    <row r="471" spans="2:8" s="40" customFormat="1" ht="15.75" customHeight="1" x14ac:dyDescent="0.25">
      <c r="B471" s="39"/>
      <c r="C471" s="39"/>
      <c r="D471" s="39"/>
      <c r="E471" s="39"/>
      <c r="F471" s="39"/>
      <c r="G471" s="39"/>
      <c r="H471" s="39"/>
    </row>
    <row r="472" spans="2:8" s="40" customFormat="1" ht="15.75" customHeight="1" x14ac:dyDescent="0.25">
      <c r="B472" s="39"/>
      <c r="C472" s="39"/>
      <c r="D472" s="39"/>
      <c r="E472" s="39"/>
      <c r="F472" s="39"/>
      <c r="G472" s="39"/>
      <c r="H472" s="39"/>
    </row>
    <row r="473" spans="2:8" s="40" customFormat="1" ht="15.75" customHeight="1" x14ac:dyDescent="0.25">
      <c r="B473" s="39"/>
      <c r="C473" s="39"/>
      <c r="D473" s="39"/>
      <c r="E473" s="39"/>
      <c r="F473" s="39"/>
      <c r="G473" s="39"/>
      <c r="H473" s="39"/>
    </row>
    <row r="474" spans="2:8" s="40" customFormat="1" ht="15.75" customHeight="1" x14ac:dyDescent="0.25">
      <c r="B474" s="39"/>
      <c r="C474" s="39"/>
      <c r="D474" s="39"/>
      <c r="E474" s="39"/>
      <c r="F474" s="39"/>
      <c r="G474" s="39"/>
      <c r="H474" s="39"/>
    </row>
    <row r="475" spans="2:8" s="40" customFormat="1" ht="15.75" customHeight="1" x14ac:dyDescent="0.25">
      <c r="B475" s="39"/>
      <c r="C475" s="39"/>
      <c r="D475" s="39"/>
      <c r="E475" s="39"/>
      <c r="F475" s="39"/>
      <c r="G475" s="39"/>
      <c r="H475" s="39"/>
    </row>
    <row r="476" spans="2:8" s="40" customFormat="1" ht="15.75" customHeight="1" x14ac:dyDescent="0.25">
      <c r="B476" s="39"/>
      <c r="C476" s="39"/>
      <c r="D476" s="39"/>
      <c r="E476" s="39"/>
      <c r="F476" s="39"/>
      <c r="G476" s="39"/>
      <c r="H476" s="39"/>
    </row>
    <row r="477" spans="2:8" s="40" customFormat="1" ht="15.75" customHeight="1" x14ac:dyDescent="0.25">
      <c r="B477" s="39"/>
      <c r="C477" s="39"/>
      <c r="D477" s="39"/>
      <c r="E477" s="39"/>
      <c r="F477" s="39"/>
      <c r="G477" s="39"/>
      <c r="H477" s="39"/>
    </row>
    <row r="478" spans="2:8" s="40" customFormat="1" ht="15.75" customHeight="1" x14ac:dyDescent="0.25">
      <c r="B478" s="39"/>
      <c r="C478" s="39"/>
      <c r="D478" s="39"/>
      <c r="E478" s="39"/>
      <c r="F478" s="39"/>
      <c r="G478" s="39"/>
      <c r="H478" s="39"/>
    </row>
    <row r="479" spans="2:8" s="40" customFormat="1" ht="15.75" customHeight="1" x14ac:dyDescent="0.25">
      <c r="B479" s="39"/>
      <c r="C479" s="39"/>
      <c r="D479" s="39"/>
      <c r="E479" s="39"/>
      <c r="F479" s="39"/>
      <c r="G479" s="39"/>
      <c r="H479" s="39"/>
    </row>
    <row r="480" spans="2:8" s="40" customFormat="1" ht="15.75" customHeight="1" x14ac:dyDescent="0.25">
      <c r="B480" s="39"/>
      <c r="C480" s="39"/>
      <c r="D480" s="39"/>
      <c r="E480" s="39"/>
      <c r="F480" s="39"/>
      <c r="G480" s="39"/>
      <c r="H480" s="39"/>
    </row>
    <row r="481" spans="2:8" s="40" customFormat="1" ht="15.75" customHeight="1" x14ac:dyDescent="0.25">
      <c r="B481" s="39"/>
      <c r="C481" s="39"/>
      <c r="D481" s="39"/>
      <c r="E481" s="39"/>
      <c r="F481" s="39"/>
      <c r="G481" s="39"/>
      <c r="H481" s="39"/>
    </row>
    <row r="482" spans="2:8" s="40" customFormat="1" ht="15.75" customHeight="1" x14ac:dyDescent="0.25">
      <c r="B482" s="39"/>
      <c r="C482" s="39"/>
      <c r="D482" s="39"/>
      <c r="E482" s="39"/>
      <c r="F482" s="39"/>
      <c r="G482" s="39"/>
      <c r="H482" s="39"/>
    </row>
    <row r="483" spans="2:8" s="40" customFormat="1" ht="15.75" customHeight="1" x14ac:dyDescent="0.25">
      <c r="B483" s="39"/>
      <c r="C483" s="39"/>
      <c r="D483" s="39"/>
      <c r="E483" s="39"/>
      <c r="F483" s="39"/>
      <c r="G483" s="39"/>
      <c r="H483" s="39"/>
    </row>
    <row r="484" spans="2:8" s="40" customFormat="1" ht="15.75" customHeight="1" x14ac:dyDescent="0.25">
      <c r="B484" s="39"/>
      <c r="C484" s="39"/>
      <c r="D484" s="39"/>
      <c r="E484" s="39"/>
      <c r="F484" s="39"/>
      <c r="G484" s="39"/>
      <c r="H484" s="39"/>
    </row>
    <row r="485" spans="2:8" s="40" customFormat="1" ht="15.75" customHeight="1" x14ac:dyDescent="0.25">
      <c r="B485" s="39"/>
      <c r="C485" s="39"/>
      <c r="D485" s="39"/>
      <c r="E485" s="39"/>
      <c r="F485" s="39"/>
      <c r="G485" s="39"/>
      <c r="H485" s="39"/>
    </row>
    <row r="486" spans="2:8" s="40" customFormat="1" ht="15.75" customHeight="1" x14ac:dyDescent="0.25">
      <c r="B486" s="39"/>
      <c r="C486" s="39"/>
      <c r="D486" s="39"/>
      <c r="E486" s="39"/>
      <c r="F486" s="39"/>
      <c r="G486" s="39"/>
      <c r="H486" s="39"/>
    </row>
    <row r="487" spans="2:8" s="40" customFormat="1" ht="15.75" customHeight="1" x14ac:dyDescent="0.25">
      <c r="B487" s="39"/>
      <c r="C487" s="39"/>
      <c r="D487" s="39"/>
      <c r="E487" s="39"/>
      <c r="F487" s="39"/>
      <c r="G487" s="39"/>
      <c r="H487" s="39"/>
    </row>
    <row r="488" spans="2:8" s="40" customFormat="1" ht="15.75" customHeight="1" x14ac:dyDescent="0.25">
      <c r="B488" s="39"/>
      <c r="C488" s="39"/>
      <c r="D488" s="39"/>
      <c r="E488" s="39"/>
      <c r="F488" s="39"/>
      <c r="G488" s="39"/>
      <c r="H488" s="39"/>
    </row>
    <row r="489" spans="2:8" s="40" customFormat="1" ht="15.75" customHeight="1" x14ac:dyDescent="0.25">
      <c r="B489" s="39"/>
      <c r="C489" s="39"/>
      <c r="D489" s="39"/>
      <c r="E489" s="39"/>
      <c r="F489" s="39"/>
      <c r="G489" s="39"/>
      <c r="H489" s="39"/>
    </row>
    <row r="490" spans="2:8" s="40" customFormat="1" ht="15.75" customHeight="1" x14ac:dyDescent="0.25">
      <c r="B490" s="39"/>
      <c r="C490" s="39"/>
      <c r="D490" s="39"/>
      <c r="E490" s="39"/>
      <c r="F490" s="39"/>
      <c r="G490" s="39"/>
      <c r="H490" s="39"/>
    </row>
    <row r="491" spans="2:8" s="40" customFormat="1" ht="15.75" customHeight="1" x14ac:dyDescent="0.25">
      <c r="B491" s="39"/>
      <c r="C491" s="39"/>
      <c r="D491" s="39"/>
      <c r="E491" s="39"/>
      <c r="F491" s="39"/>
      <c r="G491" s="39"/>
      <c r="H491" s="39"/>
    </row>
    <row r="492" spans="2:8" s="40" customFormat="1" ht="15.75" customHeight="1" x14ac:dyDescent="0.25">
      <c r="B492" s="39"/>
      <c r="C492" s="39"/>
      <c r="D492" s="39"/>
      <c r="E492" s="39"/>
      <c r="F492" s="39"/>
      <c r="G492" s="39"/>
      <c r="H492" s="39"/>
    </row>
    <row r="493" spans="2:8" s="40" customFormat="1" ht="15.75" customHeight="1" x14ac:dyDescent="0.25">
      <c r="B493" s="39"/>
      <c r="C493" s="39"/>
      <c r="D493" s="39"/>
      <c r="E493" s="39"/>
      <c r="F493" s="39"/>
      <c r="G493" s="39"/>
      <c r="H493" s="39"/>
    </row>
    <row r="494" spans="2:8" s="40" customFormat="1" ht="15.75" customHeight="1" x14ac:dyDescent="0.25">
      <c r="B494" s="39"/>
      <c r="C494" s="39"/>
      <c r="D494" s="39"/>
      <c r="E494" s="39"/>
      <c r="F494" s="39"/>
      <c r="G494" s="39"/>
      <c r="H494" s="39"/>
    </row>
    <row r="495" spans="2:8" s="40" customFormat="1" ht="15.75" customHeight="1" x14ac:dyDescent="0.25">
      <c r="B495" s="39"/>
      <c r="C495" s="39"/>
      <c r="D495" s="39"/>
      <c r="E495" s="39"/>
      <c r="F495" s="39"/>
      <c r="G495" s="39"/>
      <c r="H495" s="39"/>
    </row>
    <row r="496" spans="2:8" s="40" customFormat="1" ht="15.75" customHeight="1" x14ac:dyDescent="0.25">
      <c r="B496" s="39"/>
      <c r="C496" s="39"/>
      <c r="D496" s="39"/>
      <c r="E496" s="39"/>
      <c r="F496" s="39"/>
      <c r="G496" s="39"/>
      <c r="H496" s="39"/>
    </row>
    <row r="497" spans="2:8" s="40" customFormat="1" ht="15.75" customHeight="1" x14ac:dyDescent="0.25">
      <c r="B497" s="39"/>
      <c r="C497" s="39"/>
      <c r="D497" s="39"/>
      <c r="E497" s="39"/>
      <c r="F497" s="39"/>
      <c r="G497" s="39"/>
      <c r="H497" s="39"/>
    </row>
    <row r="498" spans="2:8" s="40" customFormat="1" ht="15.75" customHeight="1" x14ac:dyDescent="0.25">
      <c r="B498" s="39"/>
      <c r="C498" s="39"/>
      <c r="D498" s="39"/>
      <c r="E498" s="39"/>
      <c r="F498" s="39"/>
      <c r="G498" s="39"/>
      <c r="H498" s="39"/>
    </row>
    <row r="499" spans="2:8" s="40" customFormat="1" ht="15.75" customHeight="1" x14ac:dyDescent="0.25">
      <c r="B499" s="39"/>
      <c r="C499" s="39"/>
      <c r="D499" s="39"/>
      <c r="E499" s="39"/>
      <c r="F499" s="39"/>
      <c r="G499" s="39"/>
      <c r="H499" s="39"/>
    </row>
    <row r="500" spans="2:8" s="40" customFormat="1" ht="15.75" customHeight="1" x14ac:dyDescent="0.25">
      <c r="B500" s="39"/>
      <c r="C500" s="39"/>
      <c r="D500" s="39"/>
      <c r="E500" s="39"/>
      <c r="F500" s="39"/>
      <c r="G500" s="39"/>
      <c r="H500" s="39"/>
    </row>
    <row r="501" spans="2:8" s="40" customFormat="1" ht="15.75" customHeight="1" x14ac:dyDescent="0.25">
      <c r="B501" s="39"/>
      <c r="C501" s="39"/>
      <c r="D501" s="39"/>
      <c r="E501" s="39"/>
      <c r="F501" s="39"/>
      <c r="G501" s="39"/>
      <c r="H501" s="39"/>
    </row>
    <row r="502" spans="2:8" s="40" customFormat="1" ht="15.75" customHeight="1" x14ac:dyDescent="0.25">
      <c r="B502" s="39"/>
      <c r="C502" s="39"/>
      <c r="D502" s="39"/>
      <c r="E502" s="39"/>
      <c r="F502" s="39"/>
      <c r="G502" s="39"/>
      <c r="H502" s="39"/>
    </row>
    <row r="503" spans="2:8" s="40" customFormat="1" ht="15.75" customHeight="1" x14ac:dyDescent="0.25">
      <c r="B503" s="39"/>
      <c r="C503" s="39"/>
      <c r="D503" s="39"/>
      <c r="E503" s="39"/>
      <c r="F503" s="39"/>
      <c r="G503" s="39"/>
      <c r="H503" s="39"/>
    </row>
    <row r="504" spans="2:8" s="40" customFormat="1" ht="15.75" customHeight="1" x14ac:dyDescent="0.25">
      <c r="B504" s="39"/>
      <c r="C504" s="39"/>
      <c r="D504" s="39"/>
      <c r="E504" s="39"/>
      <c r="F504" s="39"/>
      <c r="G504" s="39"/>
      <c r="H504" s="39"/>
    </row>
    <row r="505" spans="2:8" s="40" customFormat="1" ht="15.75" customHeight="1" x14ac:dyDescent="0.25">
      <c r="B505" s="39"/>
      <c r="C505" s="39"/>
      <c r="D505" s="39"/>
      <c r="E505" s="39"/>
      <c r="F505" s="39"/>
      <c r="G505" s="39"/>
      <c r="H505" s="39"/>
    </row>
    <row r="506" spans="2:8" s="40" customFormat="1" ht="15.75" customHeight="1" x14ac:dyDescent="0.25">
      <c r="B506" s="39"/>
      <c r="C506" s="39"/>
      <c r="D506" s="39"/>
      <c r="E506" s="39"/>
      <c r="F506" s="39"/>
      <c r="G506" s="39"/>
      <c r="H506" s="39"/>
    </row>
    <row r="507" spans="2:8" s="40" customFormat="1" ht="15.75" customHeight="1" x14ac:dyDescent="0.25">
      <c r="B507" s="39"/>
      <c r="C507" s="39"/>
      <c r="D507" s="39"/>
      <c r="E507" s="39"/>
      <c r="F507" s="39"/>
      <c r="G507" s="39"/>
      <c r="H507" s="39"/>
    </row>
    <row r="508" spans="2:8" s="40" customFormat="1" ht="15.75" customHeight="1" x14ac:dyDescent="0.25">
      <c r="B508" s="39"/>
      <c r="C508" s="39"/>
      <c r="D508" s="39"/>
      <c r="E508" s="39"/>
      <c r="F508" s="39"/>
      <c r="G508" s="39"/>
      <c r="H508" s="39"/>
    </row>
    <row r="509" spans="2:8" s="40" customFormat="1" ht="15.75" customHeight="1" x14ac:dyDescent="0.25">
      <c r="B509" s="39"/>
      <c r="C509" s="39"/>
      <c r="D509" s="39"/>
      <c r="E509" s="39"/>
      <c r="F509" s="39"/>
      <c r="G509" s="39"/>
      <c r="H509" s="39"/>
    </row>
    <row r="510" spans="2:8" s="40" customFormat="1" ht="15.75" customHeight="1" x14ac:dyDescent="0.25">
      <c r="B510" s="39"/>
      <c r="C510" s="39"/>
      <c r="D510" s="39"/>
      <c r="E510" s="39"/>
      <c r="F510" s="39"/>
      <c r="G510" s="39"/>
      <c r="H510" s="39"/>
    </row>
    <row r="511" spans="2:8" s="40" customFormat="1" ht="15.75" customHeight="1" x14ac:dyDescent="0.25">
      <c r="B511" s="39"/>
      <c r="C511" s="39"/>
      <c r="D511" s="39"/>
      <c r="E511" s="39"/>
      <c r="F511" s="39"/>
      <c r="G511" s="39"/>
      <c r="H511" s="39"/>
    </row>
    <row r="512" spans="2:8" s="40" customFormat="1" ht="15.75" customHeight="1" x14ac:dyDescent="0.25">
      <c r="B512" s="39"/>
      <c r="C512" s="39"/>
      <c r="D512" s="39"/>
      <c r="E512" s="39"/>
      <c r="F512" s="39"/>
      <c r="G512" s="39"/>
      <c r="H512" s="39"/>
    </row>
    <row r="513" spans="2:8" s="40" customFormat="1" ht="15.75" customHeight="1" x14ac:dyDescent="0.25">
      <c r="B513" s="39"/>
      <c r="C513" s="39"/>
      <c r="D513" s="39"/>
      <c r="E513" s="39"/>
      <c r="F513" s="39"/>
      <c r="G513" s="39"/>
      <c r="H513" s="39"/>
    </row>
    <row r="514" spans="2:8" s="40" customFormat="1" ht="15.75" customHeight="1" x14ac:dyDescent="0.25">
      <c r="B514" s="39"/>
      <c r="C514" s="39"/>
      <c r="D514" s="39"/>
      <c r="E514" s="39"/>
      <c r="F514" s="39"/>
      <c r="G514" s="39"/>
      <c r="H514" s="39"/>
    </row>
    <row r="515" spans="2:8" s="40" customFormat="1" ht="15.75" customHeight="1" x14ac:dyDescent="0.25">
      <c r="B515" s="39"/>
      <c r="C515" s="39"/>
      <c r="D515" s="39"/>
      <c r="E515" s="39"/>
      <c r="F515" s="39"/>
      <c r="G515" s="39"/>
      <c r="H515" s="39"/>
    </row>
    <row r="516" spans="2:8" s="40" customFormat="1" ht="15.75" customHeight="1" x14ac:dyDescent="0.25">
      <c r="B516" s="39"/>
      <c r="C516" s="39"/>
      <c r="D516" s="39"/>
      <c r="E516" s="39"/>
      <c r="F516" s="39"/>
      <c r="G516" s="39"/>
      <c r="H516" s="39"/>
    </row>
    <row r="517" spans="2:8" s="40" customFormat="1" ht="15.75" customHeight="1" x14ac:dyDescent="0.25">
      <c r="B517" s="39"/>
      <c r="C517" s="39"/>
      <c r="D517" s="39"/>
      <c r="E517" s="39"/>
      <c r="F517" s="39"/>
      <c r="G517" s="39"/>
      <c r="H517" s="39"/>
    </row>
    <row r="518" spans="2:8" s="40" customFormat="1" ht="15.75" customHeight="1" x14ac:dyDescent="0.25">
      <c r="B518" s="39"/>
      <c r="C518" s="39"/>
      <c r="D518" s="39"/>
      <c r="E518" s="39"/>
      <c r="F518" s="39"/>
      <c r="G518" s="39"/>
      <c r="H518" s="39"/>
    </row>
    <row r="519" spans="2:8" s="40" customFormat="1" ht="15.75" customHeight="1" x14ac:dyDescent="0.25">
      <c r="B519" s="39"/>
      <c r="C519" s="39"/>
      <c r="D519" s="39"/>
      <c r="E519" s="39"/>
      <c r="F519" s="39"/>
      <c r="G519" s="39"/>
      <c r="H519" s="39"/>
    </row>
    <row r="520" spans="2:8" s="40" customFormat="1" ht="15.75" customHeight="1" x14ac:dyDescent="0.25">
      <c r="B520" s="39"/>
      <c r="C520" s="39"/>
      <c r="D520" s="39"/>
      <c r="E520" s="39"/>
      <c r="F520" s="39"/>
      <c r="G520" s="39"/>
      <c r="H520" s="39"/>
    </row>
    <row r="521" spans="2:8" s="40" customFormat="1" ht="15.75" customHeight="1" x14ac:dyDescent="0.25">
      <c r="B521" s="39"/>
      <c r="C521" s="39"/>
      <c r="D521" s="39"/>
      <c r="E521" s="39"/>
      <c r="F521" s="39"/>
      <c r="G521" s="39"/>
      <c r="H521" s="39"/>
    </row>
    <row r="522" spans="2:8" s="40" customFormat="1" ht="15.75" customHeight="1" x14ac:dyDescent="0.25">
      <c r="B522" s="39"/>
      <c r="C522" s="39"/>
      <c r="D522" s="39"/>
      <c r="E522" s="39"/>
      <c r="F522" s="39"/>
      <c r="G522" s="39"/>
      <c r="H522" s="39"/>
    </row>
    <row r="523" spans="2:8" s="40" customFormat="1" ht="15.75" customHeight="1" x14ac:dyDescent="0.25">
      <c r="B523" s="39"/>
      <c r="C523" s="39"/>
      <c r="D523" s="39"/>
      <c r="E523" s="39"/>
      <c r="F523" s="39"/>
      <c r="G523" s="39"/>
      <c r="H523" s="39"/>
    </row>
    <row r="524" spans="2:8" s="40" customFormat="1" ht="15.75" customHeight="1" x14ac:dyDescent="0.25">
      <c r="B524" s="39"/>
      <c r="C524" s="39"/>
      <c r="D524" s="39"/>
      <c r="E524" s="39"/>
      <c r="F524" s="39"/>
      <c r="G524" s="39"/>
      <c r="H524" s="39"/>
    </row>
    <row r="525" spans="2:8" s="40" customFormat="1" ht="15.75" customHeight="1" x14ac:dyDescent="0.25">
      <c r="B525" s="39"/>
      <c r="C525" s="39"/>
      <c r="D525" s="39"/>
      <c r="E525" s="39"/>
      <c r="F525" s="39"/>
      <c r="G525" s="39"/>
      <c r="H525" s="39"/>
    </row>
    <row r="526" spans="2:8" s="40" customFormat="1" ht="15.75" customHeight="1" x14ac:dyDescent="0.25">
      <c r="B526" s="39"/>
      <c r="C526" s="39"/>
      <c r="D526" s="39"/>
      <c r="E526" s="39"/>
      <c r="F526" s="39"/>
      <c r="G526" s="39"/>
      <c r="H526" s="39"/>
    </row>
    <row r="527" spans="2:8" s="40" customFormat="1" ht="15.75" customHeight="1" x14ac:dyDescent="0.25">
      <c r="B527" s="39"/>
      <c r="C527" s="39"/>
      <c r="D527" s="39"/>
      <c r="E527" s="39"/>
      <c r="F527" s="39"/>
      <c r="G527" s="39"/>
      <c r="H527" s="39"/>
    </row>
    <row r="528" spans="2:8" s="40" customFormat="1" ht="15.75" customHeight="1" x14ac:dyDescent="0.25">
      <c r="B528" s="39"/>
      <c r="C528" s="39"/>
      <c r="D528" s="39"/>
      <c r="E528" s="39"/>
      <c r="F528" s="39"/>
      <c r="G528" s="39"/>
      <c r="H528" s="39"/>
    </row>
    <row r="529" spans="2:8" s="40" customFormat="1" ht="15.75" customHeight="1" x14ac:dyDescent="0.25">
      <c r="B529" s="39"/>
      <c r="C529" s="39"/>
      <c r="D529" s="39"/>
      <c r="E529" s="39"/>
      <c r="F529" s="39"/>
      <c r="G529" s="39"/>
      <c r="H529" s="39"/>
    </row>
    <row r="530" spans="2:8" s="40" customFormat="1" ht="15.75" customHeight="1" x14ac:dyDescent="0.25">
      <c r="B530" s="39"/>
      <c r="C530" s="39"/>
      <c r="D530" s="39"/>
      <c r="E530" s="39"/>
      <c r="F530" s="39"/>
      <c r="G530" s="39"/>
      <c r="H530" s="39"/>
    </row>
    <row r="531" spans="2:8" s="40" customFormat="1" ht="15.75" customHeight="1" x14ac:dyDescent="0.25">
      <c r="B531" s="39"/>
      <c r="C531" s="39"/>
      <c r="D531" s="39"/>
      <c r="E531" s="39"/>
      <c r="F531" s="39"/>
      <c r="G531" s="39"/>
      <c r="H531" s="39"/>
    </row>
    <row r="532" spans="2:8" s="40" customFormat="1" ht="15.75" customHeight="1" x14ac:dyDescent="0.25">
      <c r="B532" s="39"/>
      <c r="C532" s="39"/>
      <c r="D532" s="39"/>
      <c r="E532" s="39"/>
      <c r="F532" s="39"/>
      <c r="G532" s="39"/>
      <c r="H532" s="39"/>
    </row>
    <row r="533" spans="2:8" s="40" customFormat="1" ht="15.75" customHeight="1" x14ac:dyDescent="0.25">
      <c r="B533" s="39"/>
      <c r="C533" s="39"/>
      <c r="D533" s="39"/>
      <c r="E533" s="39"/>
      <c r="F533" s="39"/>
      <c r="G533" s="39"/>
      <c r="H533" s="39"/>
    </row>
    <row r="534" spans="2:8" s="40" customFormat="1" ht="15.75" customHeight="1" x14ac:dyDescent="0.25">
      <c r="B534" s="39"/>
      <c r="C534" s="39"/>
      <c r="D534" s="39"/>
      <c r="E534" s="39"/>
      <c r="F534" s="39"/>
      <c r="G534" s="39"/>
      <c r="H534" s="39"/>
    </row>
    <row r="535" spans="2:8" s="40" customFormat="1" ht="15.75" customHeight="1" x14ac:dyDescent="0.25">
      <c r="B535" s="39"/>
      <c r="C535" s="39"/>
      <c r="D535" s="39"/>
      <c r="E535" s="39"/>
      <c r="F535" s="39"/>
      <c r="G535" s="39"/>
      <c r="H535" s="39"/>
    </row>
    <row r="536" spans="2:8" s="40" customFormat="1" ht="15.75" customHeight="1" x14ac:dyDescent="0.25">
      <c r="B536" s="39"/>
      <c r="C536" s="39"/>
      <c r="D536" s="39"/>
      <c r="E536" s="39"/>
      <c r="F536" s="39"/>
      <c r="G536" s="39"/>
      <c r="H536" s="39"/>
    </row>
    <row r="537" spans="2:8" s="40" customFormat="1" ht="15.75" customHeight="1" x14ac:dyDescent="0.25">
      <c r="B537" s="39"/>
      <c r="C537" s="39"/>
      <c r="D537" s="39"/>
      <c r="E537" s="39"/>
      <c r="F537" s="39"/>
      <c r="G537" s="39"/>
      <c r="H537" s="39"/>
    </row>
    <row r="538" spans="2:8" s="40" customFormat="1" ht="15.75" customHeight="1" x14ac:dyDescent="0.25">
      <c r="B538" s="39"/>
      <c r="C538" s="39"/>
      <c r="D538" s="39"/>
      <c r="E538" s="39"/>
      <c r="F538" s="39"/>
      <c r="G538" s="39"/>
      <c r="H538" s="39"/>
    </row>
    <row r="539" spans="2:8" s="40" customFormat="1" ht="15.75" customHeight="1" x14ac:dyDescent="0.25">
      <c r="B539" s="39"/>
      <c r="C539" s="39"/>
      <c r="D539" s="39"/>
      <c r="E539" s="39"/>
      <c r="F539" s="39"/>
      <c r="G539" s="39"/>
      <c r="H539" s="39"/>
    </row>
    <row r="540" spans="2:8" s="40" customFormat="1" ht="15.75" customHeight="1" x14ac:dyDescent="0.25">
      <c r="B540" s="39"/>
      <c r="C540" s="39"/>
      <c r="D540" s="39"/>
      <c r="E540" s="39"/>
      <c r="F540" s="39"/>
      <c r="G540" s="39"/>
      <c r="H540" s="39"/>
    </row>
    <row r="541" spans="2:8" s="40" customFormat="1" ht="15.75" customHeight="1" x14ac:dyDescent="0.25">
      <c r="B541" s="39"/>
      <c r="C541" s="39"/>
      <c r="D541" s="39"/>
      <c r="E541" s="39"/>
      <c r="F541" s="39"/>
      <c r="G541" s="39"/>
      <c r="H541" s="39"/>
    </row>
    <row r="542" spans="2:8" s="40" customFormat="1" ht="15.75" customHeight="1" x14ac:dyDescent="0.25">
      <c r="B542" s="39"/>
      <c r="C542" s="39"/>
      <c r="D542" s="39"/>
      <c r="E542" s="39"/>
      <c r="F542" s="39"/>
      <c r="G542" s="39"/>
      <c r="H542" s="39"/>
    </row>
    <row r="543" spans="2:8" s="40" customFormat="1" ht="15.75" customHeight="1" x14ac:dyDescent="0.25">
      <c r="B543" s="39"/>
      <c r="C543" s="39"/>
      <c r="D543" s="39"/>
      <c r="E543" s="39"/>
      <c r="F543" s="39"/>
      <c r="G543" s="39"/>
      <c r="H543" s="39"/>
    </row>
    <row r="544" spans="2:8" s="40" customFormat="1" ht="15.75" customHeight="1" x14ac:dyDescent="0.25">
      <c r="B544" s="39"/>
      <c r="C544" s="39"/>
      <c r="D544" s="39"/>
      <c r="E544" s="39"/>
      <c r="F544" s="39"/>
      <c r="G544" s="39"/>
      <c r="H544" s="39"/>
    </row>
    <row r="545" spans="2:8" s="40" customFormat="1" ht="15.75" customHeight="1" x14ac:dyDescent="0.25">
      <c r="B545" s="39"/>
      <c r="C545" s="39"/>
      <c r="D545" s="39"/>
      <c r="E545" s="39"/>
      <c r="F545" s="39"/>
      <c r="G545" s="39"/>
      <c r="H545" s="39"/>
    </row>
    <row r="546" spans="2:8" s="40" customFormat="1" ht="15.75" customHeight="1" x14ac:dyDescent="0.25">
      <c r="B546" s="39"/>
      <c r="C546" s="39"/>
      <c r="D546" s="39"/>
      <c r="E546" s="39"/>
      <c r="F546" s="39"/>
      <c r="G546" s="39"/>
      <c r="H546" s="39"/>
    </row>
    <row r="547" spans="2:8" s="40" customFormat="1" ht="15.75" customHeight="1" x14ac:dyDescent="0.25">
      <c r="B547" s="39"/>
      <c r="C547" s="39"/>
      <c r="D547" s="39"/>
      <c r="E547" s="39"/>
      <c r="F547" s="39"/>
      <c r="G547" s="39"/>
      <c r="H547" s="39"/>
    </row>
    <row r="548" spans="2:8" s="40" customFormat="1" ht="15.75" customHeight="1" x14ac:dyDescent="0.25">
      <c r="B548" s="39"/>
      <c r="C548" s="39"/>
      <c r="D548" s="39"/>
      <c r="E548" s="39"/>
      <c r="F548" s="39"/>
      <c r="G548" s="39"/>
      <c r="H548" s="39"/>
    </row>
    <row r="549" spans="2:8" s="40" customFormat="1" ht="15.75" customHeight="1" x14ac:dyDescent="0.25">
      <c r="B549" s="39"/>
      <c r="C549" s="39"/>
      <c r="D549" s="39"/>
      <c r="E549" s="39"/>
      <c r="F549" s="39"/>
      <c r="G549" s="39"/>
      <c r="H549" s="39"/>
    </row>
    <row r="550" spans="2:8" s="40" customFormat="1" ht="15.75" customHeight="1" x14ac:dyDescent="0.25">
      <c r="B550" s="39"/>
      <c r="C550" s="39"/>
      <c r="D550" s="39"/>
      <c r="E550" s="39"/>
      <c r="F550" s="39"/>
      <c r="G550" s="39"/>
      <c r="H550" s="39"/>
    </row>
    <row r="551" spans="2:8" s="40" customFormat="1" ht="15.75" customHeight="1" x14ac:dyDescent="0.25">
      <c r="B551" s="39"/>
      <c r="C551" s="39"/>
      <c r="D551" s="39"/>
      <c r="E551" s="39"/>
      <c r="F551" s="39"/>
      <c r="G551" s="39"/>
      <c r="H551" s="39"/>
    </row>
    <row r="552" spans="2:8" s="40" customFormat="1" ht="15.75" customHeight="1" x14ac:dyDescent="0.25">
      <c r="B552" s="39"/>
      <c r="C552" s="39"/>
      <c r="D552" s="39"/>
      <c r="E552" s="39"/>
      <c r="F552" s="39"/>
      <c r="G552" s="39"/>
      <c r="H552" s="39"/>
    </row>
    <row r="553" spans="2:8" s="40" customFormat="1" ht="15.75" customHeight="1" x14ac:dyDescent="0.25">
      <c r="B553" s="39"/>
      <c r="C553" s="39"/>
      <c r="D553" s="39"/>
      <c r="E553" s="39"/>
      <c r="F553" s="39"/>
      <c r="G553" s="39"/>
      <c r="H553" s="39"/>
    </row>
    <row r="554" spans="2:8" s="40" customFormat="1" ht="15.75" customHeight="1" x14ac:dyDescent="0.25">
      <c r="B554" s="39"/>
      <c r="C554" s="39"/>
      <c r="D554" s="39"/>
      <c r="E554" s="39"/>
      <c r="F554" s="39"/>
      <c r="G554" s="39"/>
      <c r="H554" s="39"/>
    </row>
    <row r="555" spans="2:8" s="40" customFormat="1" ht="15.75" customHeight="1" x14ac:dyDescent="0.25">
      <c r="B555" s="39"/>
      <c r="C555" s="39"/>
      <c r="D555" s="39"/>
      <c r="E555" s="39"/>
      <c r="F555" s="39"/>
      <c r="G555" s="39"/>
      <c r="H555" s="39"/>
    </row>
    <row r="556" spans="2:8" s="40" customFormat="1" ht="15.75" customHeight="1" x14ac:dyDescent="0.25">
      <c r="B556" s="39"/>
      <c r="C556" s="39"/>
      <c r="D556" s="39"/>
      <c r="E556" s="39"/>
      <c r="F556" s="39"/>
      <c r="G556" s="39"/>
      <c r="H556" s="39"/>
    </row>
    <row r="557" spans="2:8" s="40" customFormat="1" ht="15.75" customHeight="1" x14ac:dyDescent="0.25">
      <c r="B557" s="39"/>
      <c r="C557" s="39"/>
      <c r="D557" s="39"/>
      <c r="E557" s="39"/>
      <c r="F557" s="39"/>
      <c r="G557" s="39"/>
      <c r="H557" s="39"/>
    </row>
    <row r="558" spans="2:8" s="40" customFormat="1" ht="15.75" customHeight="1" x14ac:dyDescent="0.25">
      <c r="B558" s="39"/>
      <c r="C558" s="39"/>
      <c r="D558" s="39"/>
      <c r="E558" s="39"/>
      <c r="F558" s="39"/>
      <c r="G558" s="39"/>
      <c r="H558" s="39"/>
    </row>
    <row r="559" spans="2:8" s="40" customFormat="1" ht="15.75" customHeight="1" x14ac:dyDescent="0.25">
      <c r="B559" s="39"/>
      <c r="C559" s="39"/>
      <c r="D559" s="39"/>
      <c r="E559" s="39"/>
      <c r="F559" s="39"/>
      <c r="G559" s="39"/>
      <c r="H559" s="39"/>
    </row>
    <row r="560" spans="2:8" s="40" customFormat="1" ht="15.75" customHeight="1" x14ac:dyDescent="0.25">
      <c r="B560" s="39"/>
      <c r="C560" s="39"/>
      <c r="D560" s="39"/>
      <c r="E560" s="39"/>
      <c r="F560" s="39"/>
      <c r="G560" s="39"/>
      <c r="H560" s="39"/>
    </row>
    <row r="561" spans="2:8" s="40" customFormat="1" ht="15.75" customHeight="1" x14ac:dyDescent="0.25">
      <c r="B561" s="39"/>
      <c r="C561" s="39"/>
      <c r="D561" s="39"/>
      <c r="E561" s="39"/>
      <c r="F561" s="39"/>
      <c r="G561" s="39"/>
      <c r="H561" s="39"/>
    </row>
    <row r="562" spans="2:8" s="40" customFormat="1" ht="15.75" customHeight="1" x14ac:dyDescent="0.25">
      <c r="B562" s="39"/>
      <c r="C562" s="39"/>
      <c r="D562" s="39"/>
      <c r="E562" s="39"/>
      <c r="F562" s="39"/>
      <c r="G562" s="39"/>
      <c r="H562" s="39"/>
    </row>
    <row r="563" spans="2:8" s="40" customFormat="1" ht="15.75" customHeight="1" x14ac:dyDescent="0.25">
      <c r="B563" s="39"/>
      <c r="C563" s="39"/>
      <c r="D563" s="39"/>
      <c r="E563" s="39"/>
      <c r="F563" s="39"/>
      <c r="G563" s="39"/>
      <c r="H563" s="39"/>
    </row>
    <row r="564" spans="2:8" s="40" customFormat="1" ht="15.75" customHeight="1" x14ac:dyDescent="0.25">
      <c r="B564" s="39"/>
      <c r="C564" s="39"/>
      <c r="D564" s="39"/>
      <c r="E564" s="39"/>
      <c r="F564" s="39"/>
      <c r="G564" s="39"/>
      <c r="H564" s="39"/>
    </row>
    <row r="565" spans="2:8" s="40" customFormat="1" ht="15.75" customHeight="1" x14ac:dyDescent="0.25">
      <c r="B565" s="39"/>
      <c r="C565" s="39"/>
      <c r="D565" s="39"/>
      <c r="E565" s="39"/>
      <c r="F565" s="39"/>
      <c r="G565" s="39"/>
      <c r="H565" s="39"/>
    </row>
    <row r="566" spans="2:8" s="40" customFormat="1" ht="15.75" customHeight="1" x14ac:dyDescent="0.25">
      <c r="B566" s="39"/>
      <c r="C566" s="39"/>
      <c r="D566" s="39"/>
      <c r="E566" s="39"/>
      <c r="F566" s="39"/>
      <c r="G566" s="39"/>
      <c r="H566" s="39"/>
    </row>
    <row r="567" spans="2:8" s="40" customFormat="1" ht="15.75" customHeight="1" x14ac:dyDescent="0.25">
      <c r="B567" s="39"/>
      <c r="C567" s="39"/>
      <c r="D567" s="39"/>
      <c r="E567" s="39"/>
      <c r="F567" s="39"/>
      <c r="G567" s="39"/>
      <c r="H567" s="39"/>
    </row>
    <row r="568" spans="2:8" s="40" customFormat="1" ht="15.75" customHeight="1" x14ac:dyDescent="0.25">
      <c r="B568" s="39"/>
      <c r="C568" s="39"/>
      <c r="D568" s="39"/>
      <c r="E568" s="39"/>
      <c r="F568" s="39"/>
      <c r="G568" s="39"/>
      <c r="H568" s="39"/>
    </row>
    <row r="569" spans="2:8" s="40" customFormat="1" ht="15.75" customHeight="1" x14ac:dyDescent="0.25">
      <c r="B569" s="39"/>
      <c r="C569" s="39"/>
      <c r="D569" s="39"/>
      <c r="E569" s="39"/>
      <c r="F569" s="39"/>
      <c r="G569" s="39"/>
      <c r="H569" s="39"/>
    </row>
    <row r="570" spans="2:8" s="40" customFormat="1" ht="15.75" customHeight="1" x14ac:dyDescent="0.25">
      <c r="B570" s="39"/>
      <c r="C570" s="39"/>
      <c r="D570" s="39"/>
      <c r="E570" s="39"/>
      <c r="F570" s="39"/>
      <c r="G570" s="39"/>
      <c r="H570" s="39"/>
    </row>
    <row r="571" spans="2:8" s="40" customFormat="1" ht="15.75" customHeight="1" x14ac:dyDescent="0.25">
      <c r="B571" s="39"/>
      <c r="C571" s="39"/>
      <c r="D571" s="39"/>
      <c r="E571" s="39"/>
      <c r="F571" s="39"/>
      <c r="G571" s="39"/>
      <c r="H571" s="39"/>
    </row>
    <row r="572" spans="2:8" s="40" customFormat="1" ht="15.75" customHeight="1" x14ac:dyDescent="0.25">
      <c r="B572" s="39"/>
      <c r="C572" s="39"/>
      <c r="D572" s="39"/>
      <c r="E572" s="39"/>
      <c r="F572" s="39"/>
      <c r="G572" s="39"/>
      <c r="H572" s="39"/>
    </row>
    <row r="573" spans="2:8" s="40" customFormat="1" ht="15.75" customHeight="1" x14ac:dyDescent="0.25">
      <c r="B573" s="39"/>
      <c r="C573" s="39"/>
      <c r="D573" s="39"/>
      <c r="E573" s="39"/>
      <c r="F573" s="39"/>
      <c r="G573" s="39"/>
      <c r="H573" s="39"/>
    </row>
    <row r="574" spans="2:8" s="40" customFormat="1" ht="15.75" customHeight="1" x14ac:dyDescent="0.25">
      <c r="B574" s="39"/>
      <c r="C574" s="39"/>
      <c r="D574" s="39"/>
      <c r="E574" s="39"/>
      <c r="F574" s="39"/>
      <c r="G574" s="39"/>
      <c r="H574" s="39"/>
    </row>
    <row r="575" spans="2:8" s="40" customFormat="1" ht="15.75" customHeight="1" x14ac:dyDescent="0.25">
      <c r="B575" s="39"/>
      <c r="C575" s="39"/>
      <c r="D575" s="39"/>
      <c r="E575" s="39"/>
      <c r="F575" s="39"/>
      <c r="G575" s="39"/>
      <c r="H575" s="39"/>
    </row>
    <row r="576" spans="2:8" s="40" customFormat="1" ht="15.75" customHeight="1" x14ac:dyDescent="0.25">
      <c r="B576" s="39"/>
      <c r="C576" s="39"/>
      <c r="D576" s="39"/>
      <c r="E576" s="39"/>
      <c r="F576" s="39"/>
      <c r="G576" s="39"/>
      <c r="H576" s="39"/>
    </row>
    <row r="577" spans="2:8" s="40" customFormat="1" ht="15.75" customHeight="1" x14ac:dyDescent="0.25">
      <c r="B577" s="39"/>
      <c r="C577" s="39"/>
      <c r="D577" s="39"/>
      <c r="E577" s="39"/>
      <c r="F577" s="39"/>
      <c r="G577" s="39"/>
      <c r="H577" s="39"/>
    </row>
    <row r="578" spans="2:8" s="40" customFormat="1" ht="15.75" customHeight="1" x14ac:dyDescent="0.25">
      <c r="B578" s="39"/>
      <c r="C578" s="39"/>
      <c r="D578" s="39"/>
      <c r="E578" s="39"/>
      <c r="F578" s="39"/>
      <c r="G578" s="39"/>
      <c r="H578" s="39"/>
    </row>
    <row r="579" spans="2:8" s="40" customFormat="1" ht="15.75" customHeight="1" x14ac:dyDescent="0.25">
      <c r="B579" s="39"/>
      <c r="C579" s="39"/>
      <c r="D579" s="39"/>
      <c r="E579" s="39"/>
      <c r="F579" s="39"/>
      <c r="G579" s="39"/>
      <c r="H579" s="39"/>
    </row>
    <row r="580" spans="2:8" s="40" customFormat="1" ht="15.75" customHeight="1" x14ac:dyDescent="0.25">
      <c r="B580" s="39"/>
      <c r="C580" s="39"/>
      <c r="D580" s="39"/>
      <c r="E580" s="39"/>
      <c r="F580" s="39"/>
      <c r="G580" s="39"/>
      <c r="H580" s="39"/>
    </row>
    <row r="581" spans="2:8" s="40" customFormat="1" ht="15.75" customHeight="1" x14ac:dyDescent="0.25">
      <c r="B581" s="39"/>
      <c r="C581" s="39"/>
      <c r="D581" s="39"/>
      <c r="E581" s="39"/>
      <c r="F581" s="39"/>
      <c r="G581" s="39"/>
      <c r="H581" s="39"/>
    </row>
    <row r="582" spans="2:8" s="40" customFormat="1" ht="15.75" customHeight="1" x14ac:dyDescent="0.25">
      <c r="B582" s="39"/>
      <c r="C582" s="39"/>
      <c r="D582" s="39"/>
      <c r="E582" s="39"/>
      <c r="F582" s="39"/>
      <c r="G582" s="39"/>
      <c r="H582" s="39"/>
    </row>
    <row r="583" spans="2:8" s="40" customFormat="1" ht="15.75" customHeight="1" x14ac:dyDescent="0.25">
      <c r="B583" s="39"/>
      <c r="C583" s="39"/>
      <c r="D583" s="39"/>
      <c r="E583" s="39"/>
      <c r="F583" s="39"/>
      <c r="G583" s="39"/>
      <c r="H583" s="39"/>
    </row>
    <row r="584" spans="2:8" s="40" customFormat="1" ht="15.75" customHeight="1" x14ac:dyDescent="0.25">
      <c r="B584" s="39"/>
      <c r="C584" s="39"/>
      <c r="D584" s="39"/>
      <c r="E584" s="39"/>
      <c r="F584" s="39"/>
      <c r="G584" s="39"/>
      <c r="H584" s="39"/>
    </row>
    <row r="585" spans="2:8" s="40" customFormat="1" ht="15.75" customHeight="1" x14ac:dyDescent="0.25">
      <c r="B585" s="39"/>
      <c r="C585" s="39"/>
      <c r="D585" s="39"/>
      <c r="E585" s="39"/>
      <c r="F585" s="39"/>
      <c r="G585" s="39"/>
      <c r="H585" s="39"/>
    </row>
    <row r="586" spans="2:8" s="40" customFormat="1" ht="15.75" customHeight="1" x14ac:dyDescent="0.25">
      <c r="B586" s="39"/>
      <c r="C586" s="39"/>
      <c r="D586" s="39"/>
      <c r="E586" s="39"/>
      <c r="F586" s="39"/>
      <c r="G586" s="39"/>
      <c r="H586" s="39"/>
    </row>
    <row r="587" spans="2:8" s="40" customFormat="1" ht="15.75" customHeight="1" x14ac:dyDescent="0.25">
      <c r="B587" s="39"/>
      <c r="C587" s="39"/>
      <c r="D587" s="39"/>
      <c r="E587" s="39"/>
      <c r="F587" s="39"/>
      <c r="G587" s="39"/>
      <c r="H587" s="39"/>
    </row>
    <row r="588" spans="2:8" s="40" customFormat="1" ht="15.75" customHeight="1" x14ac:dyDescent="0.25">
      <c r="B588" s="39"/>
      <c r="C588" s="39"/>
      <c r="D588" s="39"/>
      <c r="E588" s="39"/>
      <c r="F588" s="39"/>
      <c r="G588" s="39"/>
      <c r="H588" s="39"/>
    </row>
    <row r="589" spans="2:8" s="40" customFormat="1" ht="15.75" customHeight="1" x14ac:dyDescent="0.25">
      <c r="B589" s="39"/>
      <c r="C589" s="39"/>
      <c r="D589" s="39"/>
      <c r="E589" s="39"/>
      <c r="F589" s="39"/>
      <c r="G589" s="39"/>
      <c r="H589" s="39"/>
    </row>
    <row r="590" spans="2:8" s="40" customFormat="1" ht="15.75" customHeight="1" x14ac:dyDescent="0.25">
      <c r="B590" s="39"/>
      <c r="C590" s="39"/>
      <c r="D590" s="39"/>
      <c r="E590" s="39"/>
      <c r="F590" s="39"/>
      <c r="G590" s="39"/>
      <c r="H590" s="39"/>
    </row>
    <row r="591" spans="2:8" s="40" customFormat="1" ht="15.75" customHeight="1" x14ac:dyDescent="0.25">
      <c r="B591" s="39"/>
      <c r="C591" s="39"/>
      <c r="D591" s="39"/>
      <c r="E591" s="39"/>
      <c r="F591" s="39"/>
      <c r="G591" s="39"/>
      <c r="H591" s="39"/>
    </row>
    <row r="592" spans="2:8" s="40" customFormat="1" ht="15.75" customHeight="1" x14ac:dyDescent="0.25">
      <c r="B592" s="39"/>
      <c r="C592" s="39"/>
      <c r="D592" s="39"/>
      <c r="E592" s="39"/>
      <c r="F592" s="39"/>
      <c r="G592" s="39"/>
      <c r="H592" s="39"/>
    </row>
    <row r="593" spans="2:8" s="40" customFormat="1" ht="15.75" customHeight="1" x14ac:dyDescent="0.25">
      <c r="B593" s="39"/>
      <c r="C593" s="39"/>
      <c r="D593" s="39"/>
      <c r="E593" s="39"/>
      <c r="F593" s="39"/>
      <c r="G593" s="39"/>
      <c r="H593" s="39"/>
    </row>
    <row r="594" spans="2:8" s="40" customFormat="1" ht="15.75" customHeight="1" x14ac:dyDescent="0.25">
      <c r="B594" s="39"/>
      <c r="C594" s="39"/>
      <c r="D594" s="39"/>
      <c r="E594" s="39"/>
      <c r="F594" s="39"/>
      <c r="G594" s="39"/>
      <c r="H594" s="39"/>
    </row>
    <row r="595" spans="2:8" s="40" customFormat="1" ht="15.75" customHeight="1" x14ac:dyDescent="0.25">
      <c r="B595" s="39"/>
      <c r="C595" s="39"/>
      <c r="D595" s="39"/>
      <c r="E595" s="39"/>
      <c r="F595" s="39"/>
      <c r="G595" s="39"/>
      <c r="H595" s="39"/>
    </row>
    <row r="596" spans="2:8" s="40" customFormat="1" ht="15.75" customHeight="1" x14ac:dyDescent="0.25">
      <c r="B596" s="39"/>
      <c r="C596" s="39"/>
      <c r="D596" s="39"/>
      <c r="E596" s="39"/>
      <c r="F596" s="39"/>
      <c r="G596" s="39"/>
      <c r="H596" s="39"/>
    </row>
    <row r="597" spans="2:8" s="40" customFormat="1" ht="15.75" customHeight="1" x14ac:dyDescent="0.25">
      <c r="B597" s="39"/>
      <c r="C597" s="39"/>
      <c r="D597" s="39"/>
      <c r="E597" s="39"/>
      <c r="F597" s="39"/>
      <c r="G597" s="39"/>
      <c r="H597" s="39"/>
    </row>
    <row r="598" spans="2:8" s="40" customFormat="1" ht="15.75" customHeight="1" x14ac:dyDescent="0.25">
      <c r="B598" s="39"/>
      <c r="C598" s="39"/>
      <c r="D598" s="39"/>
      <c r="E598" s="39"/>
      <c r="F598" s="39"/>
      <c r="G598" s="39"/>
      <c r="H598" s="39"/>
    </row>
    <row r="599" spans="2:8" s="40" customFormat="1" ht="15.75" customHeight="1" x14ac:dyDescent="0.25">
      <c r="B599" s="39"/>
      <c r="C599" s="39"/>
      <c r="D599" s="39"/>
      <c r="E599" s="39"/>
      <c r="F599" s="39"/>
      <c r="G599" s="39"/>
      <c r="H599" s="39"/>
    </row>
    <row r="600" spans="2:8" s="40" customFormat="1" ht="15.75" customHeight="1" x14ac:dyDescent="0.25">
      <c r="B600" s="39"/>
      <c r="C600" s="39"/>
      <c r="D600" s="39"/>
      <c r="E600" s="39"/>
      <c r="F600" s="39"/>
      <c r="G600" s="39"/>
      <c r="H600" s="39"/>
    </row>
    <row r="601" spans="2:8" s="40" customFormat="1" ht="15.75" customHeight="1" x14ac:dyDescent="0.25">
      <c r="B601" s="39"/>
      <c r="C601" s="39"/>
      <c r="D601" s="39"/>
      <c r="E601" s="39"/>
      <c r="F601" s="39"/>
      <c r="G601" s="39"/>
      <c r="H601" s="39"/>
    </row>
    <row r="602" spans="2:8" s="40" customFormat="1" ht="15.75" customHeight="1" x14ac:dyDescent="0.25">
      <c r="B602" s="39"/>
      <c r="C602" s="39"/>
      <c r="D602" s="39"/>
      <c r="E602" s="39"/>
      <c r="F602" s="39"/>
      <c r="G602" s="39"/>
      <c r="H602" s="39"/>
    </row>
    <row r="603" spans="2:8" s="40" customFormat="1" ht="15.75" customHeight="1" x14ac:dyDescent="0.25">
      <c r="B603" s="39"/>
      <c r="C603" s="39"/>
      <c r="D603" s="39"/>
      <c r="E603" s="39"/>
      <c r="F603" s="39"/>
      <c r="G603" s="39"/>
      <c r="H603" s="39"/>
    </row>
    <row r="604" spans="2:8" s="40" customFormat="1" ht="15.75" customHeight="1" x14ac:dyDescent="0.25">
      <c r="B604" s="39"/>
      <c r="C604" s="39"/>
      <c r="D604" s="39"/>
      <c r="E604" s="39"/>
      <c r="F604" s="39"/>
      <c r="G604" s="39"/>
      <c r="H604" s="39"/>
    </row>
    <row r="605" spans="2:8" s="40" customFormat="1" ht="15.75" customHeight="1" x14ac:dyDescent="0.25">
      <c r="B605" s="39"/>
      <c r="C605" s="39"/>
      <c r="D605" s="39"/>
      <c r="E605" s="39"/>
      <c r="F605" s="39"/>
      <c r="G605" s="39"/>
      <c r="H605" s="39"/>
    </row>
    <row r="606" spans="2:8" s="40" customFormat="1" ht="15.75" customHeight="1" x14ac:dyDescent="0.25">
      <c r="B606" s="39"/>
      <c r="C606" s="39"/>
      <c r="D606" s="39"/>
      <c r="E606" s="39"/>
      <c r="F606" s="39"/>
      <c r="G606" s="39"/>
      <c r="H606" s="39"/>
    </row>
    <row r="607" spans="2:8" s="40" customFormat="1" ht="15.75" customHeight="1" x14ac:dyDescent="0.25">
      <c r="B607" s="39"/>
      <c r="C607" s="39"/>
      <c r="D607" s="39"/>
      <c r="E607" s="39"/>
      <c r="F607" s="39"/>
      <c r="G607" s="39"/>
      <c r="H607" s="39"/>
    </row>
    <row r="608" spans="2:8" s="40" customFormat="1" ht="15.75" customHeight="1" x14ac:dyDescent="0.25">
      <c r="B608" s="39"/>
      <c r="C608" s="39"/>
      <c r="D608" s="39"/>
      <c r="E608" s="39"/>
      <c r="F608" s="39"/>
      <c r="G608" s="39"/>
      <c r="H608" s="39"/>
    </row>
    <row r="609" spans="2:8" s="40" customFormat="1" ht="15.75" customHeight="1" x14ac:dyDescent="0.25">
      <c r="B609" s="39"/>
      <c r="C609" s="39"/>
      <c r="D609" s="39"/>
      <c r="E609" s="39"/>
      <c r="F609" s="39"/>
      <c r="G609" s="39"/>
      <c r="H609" s="39"/>
    </row>
    <row r="610" spans="2:8" s="40" customFormat="1" ht="15.75" customHeight="1" x14ac:dyDescent="0.25">
      <c r="B610" s="39"/>
      <c r="C610" s="39"/>
      <c r="D610" s="39"/>
      <c r="E610" s="39"/>
      <c r="F610" s="39"/>
      <c r="G610" s="39"/>
      <c r="H610" s="39"/>
    </row>
    <row r="611" spans="2:8" s="40" customFormat="1" ht="15.75" customHeight="1" x14ac:dyDescent="0.25">
      <c r="B611" s="39"/>
      <c r="C611" s="39"/>
      <c r="D611" s="39"/>
      <c r="E611" s="39"/>
      <c r="F611" s="39"/>
      <c r="G611" s="39"/>
      <c r="H611" s="39"/>
    </row>
    <row r="612" spans="2:8" s="40" customFormat="1" ht="15.75" customHeight="1" x14ac:dyDescent="0.25">
      <c r="B612" s="39"/>
      <c r="C612" s="39"/>
      <c r="D612" s="39"/>
      <c r="E612" s="39"/>
      <c r="F612" s="39"/>
      <c r="G612" s="39"/>
      <c r="H612" s="39"/>
    </row>
    <row r="613" spans="2:8" s="40" customFormat="1" ht="15.75" customHeight="1" x14ac:dyDescent="0.25">
      <c r="B613" s="39"/>
      <c r="C613" s="39"/>
      <c r="D613" s="39"/>
      <c r="E613" s="39"/>
      <c r="F613" s="39"/>
      <c r="G613" s="39"/>
      <c r="H613" s="39"/>
    </row>
    <row r="614" spans="2:8" s="40" customFormat="1" ht="15.75" customHeight="1" x14ac:dyDescent="0.25">
      <c r="B614" s="39"/>
      <c r="C614" s="39"/>
      <c r="D614" s="39"/>
      <c r="E614" s="39"/>
      <c r="F614" s="39"/>
      <c r="G614" s="39"/>
      <c r="H614" s="39"/>
    </row>
    <row r="615" spans="2:8" s="40" customFormat="1" ht="15.75" customHeight="1" x14ac:dyDescent="0.25">
      <c r="B615" s="39"/>
      <c r="C615" s="39"/>
      <c r="D615" s="39"/>
      <c r="E615" s="39"/>
      <c r="F615" s="39"/>
      <c r="G615" s="39"/>
      <c r="H615" s="39"/>
    </row>
    <row r="616" spans="2:8" s="40" customFormat="1" ht="15.75" customHeight="1" x14ac:dyDescent="0.25">
      <c r="B616" s="39"/>
      <c r="C616" s="39"/>
      <c r="D616" s="39"/>
      <c r="E616" s="39"/>
      <c r="F616" s="39"/>
      <c r="G616" s="39"/>
      <c r="H616" s="39"/>
    </row>
    <row r="617" spans="2:8" s="40" customFormat="1" ht="15.75" customHeight="1" x14ac:dyDescent="0.25">
      <c r="B617" s="39"/>
      <c r="C617" s="39"/>
      <c r="D617" s="39"/>
      <c r="E617" s="39"/>
      <c r="F617" s="39"/>
      <c r="G617" s="39"/>
      <c r="H617" s="39"/>
    </row>
    <row r="618" spans="2:8" s="40" customFormat="1" ht="15.75" customHeight="1" x14ac:dyDescent="0.25">
      <c r="B618" s="39"/>
      <c r="C618" s="39"/>
      <c r="D618" s="39"/>
      <c r="E618" s="39"/>
      <c r="F618" s="39"/>
      <c r="G618" s="39"/>
      <c r="H618" s="39"/>
    </row>
    <row r="619" spans="2:8" s="40" customFormat="1" ht="15.75" customHeight="1" x14ac:dyDescent="0.25">
      <c r="B619" s="39"/>
      <c r="C619" s="39"/>
      <c r="D619" s="39"/>
      <c r="E619" s="39"/>
      <c r="F619" s="39"/>
      <c r="G619" s="39"/>
      <c r="H619" s="39"/>
    </row>
    <row r="620" spans="2:8" s="40" customFormat="1" ht="15.75" customHeight="1" x14ac:dyDescent="0.25">
      <c r="B620" s="39"/>
      <c r="C620" s="39"/>
      <c r="D620" s="39"/>
      <c r="E620" s="39"/>
      <c r="F620" s="39"/>
      <c r="G620" s="39"/>
      <c r="H620" s="39"/>
    </row>
    <row r="621" spans="2:8" s="40" customFormat="1" ht="15.75" customHeight="1" x14ac:dyDescent="0.25">
      <c r="B621" s="39"/>
      <c r="C621" s="39"/>
      <c r="D621" s="39"/>
      <c r="E621" s="39"/>
      <c r="F621" s="39"/>
      <c r="G621" s="39"/>
      <c r="H621" s="39"/>
    </row>
    <row r="622" spans="2:8" s="40" customFormat="1" ht="15.75" customHeight="1" x14ac:dyDescent="0.25">
      <c r="B622" s="39"/>
      <c r="C622" s="39"/>
      <c r="D622" s="39"/>
      <c r="E622" s="39"/>
      <c r="F622" s="39"/>
      <c r="G622" s="39"/>
      <c r="H622" s="39"/>
    </row>
    <row r="623" spans="2:8" s="40" customFormat="1" ht="15.75" customHeight="1" x14ac:dyDescent="0.25">
      <c r="B623" s="39"/>
      <c r="C623" s="39"/>
      <c r="D623" s="39"/>
      <c r="E623" s="39"/>
      <c r="F623" s="39"/>
      <c r="G623" s="39"/>
      <c r="H623" s="39"/>
    </row>
    <row r="624" spans="2:8" s="40" customFormat="1" ht="15.75" customHeight="1" x14ac:dyDescent="0.25">
      <c r="B624" s="39"/>
      <c r="C624" s="39"/>
      <c r="D624" s="39"/>
      <c r="E624" s="39"/>
      <c r="F624" s="39"/>
      <c r="G624" s="39"/>
      <c r="H624" s="39"/>
    </row>
    <row r="625" spans="2:8" s="40" customFormat="1" ht="15.75" customHeight="1" x14ac:dyDescent="0.25">
      <c r="B625" s="39"/>
      <c r="C625" s="39"/>
      <c r="D625" s="39"/>
      <c r="E625" s="39"/>
      <c r="F625" s="39"/>
      <c r="G625" s="39"/>
      <c r="H625" s="39"/>
    </row>
    <row r="626" spans="2:8" s="40" customFormat="1" ht="15.75" customHeight="1" x14ac:dyDescent="0.25">
      <c r="B626" s="39"/>
      <c r="C626" s="39"/>
      <c r="D626" s="39"/>
      <c r="E626" s="39"/>
      <c r="F626" s="39"/>
      <c r="G626" s="39"/>
      <c r="H626" s="39"/>
    </row>
    <row r="627" spans="2:8" s="40" customFormat="1" ht="15.75" customHeight="1" x14ac:dyDescent="0.25">
      <c r="B627" s="39"/>
      <c r="C627" s="39"/>
      <c r="D627" s="39"/>
      <c r="E627" s="39"/>
      <c r="F627" s="39"/>
      <c r="G627" s="39"/>
      <c r="H627" s="39"/>
    </row>
    <row r="628" spans="2:8" s="40" customFormat="1" ht="15.75" customHeight="1" x14ac:dyDescent="0.25">
      <c r="B628" s="39"/>
      <c r="C628" s="39"/>
      <c r="D628" s="39"/>
      <c r="E628" s="39"/>
      <c r="F628" s="39"/>
      <c r="G628" s="39"/>
      <c r="H628" s="39"/>
    </row>
    <row r="629" spans="2:8" s="40" customFormat="1" ht="15.75" customHeight="1" x14ac:dyDescent="0.25">
      <c r="B629" s="39"/>
      <c r="C629" s="39"/>
      <c r="D629" s="39"/>
      <c r="E629" s="39"/>
      <c r="F629" s="39"/>
      <c r="G629" s="39"/>
      <c r="H629" s="39"/>
    </row>
    <row r="630" spans="2:8" s="40" customFormat="1" ht="15.75" customHeight="1" x14ac:dyDescent="0.25">
      <c r="B630" s="39"/>
      <c r="C630" s="39"/>
      <c r="D630" s="39"/>
      <c r="E630" s="39"/>
      <c r="F630" s="39"/>
      <c r="G630" s="39"/>
      <c r="H630" s="39"/>
    </row>
    <row r="631" spans="2:8" s="40" customFormat="1" ht="15.75" customHeight="1" x14ac:dyDescent="0.25">
      <c r="B631" s="39"/>
      <c r="C631" s="39"/>
      <c r="D631" s="39"/>
      <c r="E631" s="39"/>
      <c r="F631" s="39"/>
      <c r="G631" s="39"/>
      <c r="H631" s="39"/>
    </row>
    <row r="632" spans="2:8" s="40" customFormat="1" ht="15.75" customHeight="1" x14ac:dyDescent="0.25">
      <c r="B632" s="39"/>
      <c r="C632" s="39"/>
      <c r="D632" s="39"/>
      <c r="E632" s="39"/>
      <c r="F632" s="39"/>
      <c r="G632" s="39"/>
      <c r="H632" s="39"/>
    </row>
    <row r="633" spans="2:8" s="40" customFormat="1" ht="15.75" customHeight="1" x14ac:dyDescent="0.25">
      <c r="B633" s="39"/>
      <c r="C633" s="39"/>
      <c r="D633" s="39"/>
      <c r="E633" s="39"/>
      <c r="F633" s="39"/>
      <c r="G633" s="39"/>
      <c r="H633" s="39"/>
    </row>
    <row r="634" spans="2:8" s="40" customFormat="1" ht="15.75" customHeight="1" x14ac:dyDescent="0.25">
      <c r="B634" s="39"/>
      <c r="C634" s="39"/>
      <c r="D634" s="39"/>
      <c r="E634" s="39"/>
      <c r="F634" s="39"/>
      <c r="G634" s="39"/>
      <c r="H634" s="39"/>
    </row>
    <row r="635" spans="2:8" s="40" customFormat="1" ht="15.75" customHeight="1" x14ac:dyDescent="0.25">
      <c r="B635" s="39"/>
      <c r="C635" s="39"/>
      <c r="D635" s="39"/>
      <c r="E635" s="39"/>
      <c r="F635" s="39"/>
      <c r="G635" s="39"/>
      <c r="H635" s="39"/>
    </row>
    <row r="636" spans="2:8" s="40" customFormat="1" ht="15.75" customHeight="1" x14ac:dyDescent="0.25">
      <c r="B636" s="39"/>
      <c r="C636" s="39"/>
      <c r="D636" s="39"/>
      <c r="E636" s="39"/>
      <c r="F636" s="39"/>
      <c r="G636" s="39"/>
      <c r="H636" s="39"/>
    </row>
    <row r="637" spans="2:8" s="40" customFormat="1" ht="15.75" customHeight="1" x14ac:dyDescent="0.25">
      <c r="B637" s="39"/>
      <c r="C637" s="39"/>
      <c r="D637" s="39"/>
      <c r="E637" s="39"/>
      <c r="F637" s="39"/>
      <c r="G637" s="39"/>
      <c r="H637" s="39"/>
    </row>
    <row r="638" spans="2:8" s="40" customFormat="1" ht="15.75" customHeight="1" x14ac:dyDescent="0.25">
      <c r="B638" s="39"/>
      <c r="C638" s="39"/>
      <c r="D638" s="39"/>
      <c r="E638" s="39"/>
      <c r="F638" s="39"/>
      <c r="G638" s="39"/>
      <c r="H638" s="39"/>
    </row>
    <row r="639" spans="2:8" s="40" customFormat="1" ht="15.75" customHeight="1" x14ac:dyDescent="0.25">
      <c r="B639" s="39"/>
      <c r="C639" s="39"/>
      <c r="D639" s="39"/>
      <c r="E639" s="39"/>
      <c r="F639" s="39"/>
      <c r="G639" s="39"/>
      <c r="H639" s="39"/>
    </row>
    <row r="640" spans="2:8" s="40" customFormat="1" ht="15.75" customHeight="1" x14ac:dyDescent="0.25">
      <c r="B640" s="39"/>
      <c r="C640" s="39"/>
      <c r="D640" s="39"/>
      <c r="E640" s="39"/>
      <c r="F640" s="39"/>
      <c r="G640" s="39"/>
      <c r="H640" s="39"/>
    </row>
    <row r="641" spans="2:8" s="40" customFormat="1" ht="15.75" customHeight="1" x14ac:dyDescent="0.25">
      <c r="B641" s="39"/>
      <c r="C641" s="39"/>
      <c r="D641" s="39"/>
      <c r="E641" s="39"/>
      <c r="F641" s="39"/>
      <c r="G641" s="39"/>
      <c r="H641" s="39"/>
    </row>
    <row r="642" spans="2:8" s="40" customFormat="1" ht="15.75" customHeight="1" x14ac:dyDescent="0.25">
      <c r="B642" s="39"/>
      <c r="C642" s="39"/>
      <c r="D642" s="39"/>
      <c r="E642" s="39"/>
      <c r="F642" s="39"/>
      <c r="G642" s="39"/>
      <c r="H642" s="39"/>
    </row>
    <row r="643" spans="2:8" s="40" customFormat="1" ht="15.75" customHeight="1" x14ac:dyDescent="0.25">
      <c r="B643" s="39"/>
      <c r="C643" s="39"/>
      <c r="D643" s="39"/>
      <c r="E643" s="39"/>
      <c r="F643" s="39"/>
      <c r="G643" s="39"/>
      <c r="H643" s="39"/>
    </row>
    <row r="644" spans="2:8" s="40" customFormat="1" ht="15.75" customHeight="1" x14ac:dyDescent="0.25">
      <c r="B644" s="39"/>
      <c r="C644" s="39"/>
      <c r="D644" s="39"/>
      <c r="E644" s="39"/>
      <c r="F644" s="39"/>
      <c r="G644" s="39"/>
      <c r="H644" s="39"/>
    </row>
    <row r="645" spans="2:8" s="40" customFormat="1" ht="15.75" customHeight="1" x14ac:dyDescent="0.25">
      <c r="B645" s="39"/>
      <c r="C645" s="39"/>
      <c r="D645" s="39"/>
      <c r="E645" s="39"/>
      <c r="F645" s="39"/>
      <c r="G645" s="39"/>
      <c r="H645" s="39"/>
    </row>
    <row r="646" spans="2:8" s="40" customFormat="1" ht="15.75" customHeight="1" x14ac:dyDescent="0.25">
      <c r="B646" s="39"/>
      <c r="C646" s="39"/>
      <c r="D646" s="39"/>
      <c r="E646" s="39"/>
      <c r="F646" s="39"/>
      <c r="G646" s="39"/>
      <c r="H646" s="39"/>
    </row>
    <row r="647" spans="2:8" s="40" customFormat="1" ht="15.75" customHeight="1" x14ac:dyDescent="0.25">
      <c r="B647" s="39"/>
      <c r="C647" s="39"/>
      <c r="D647" s="39"/>
      <c r="E647" s="39"/>
      <c r="F647" s="39"/>
      <c r="G647" s="39"/>
      <c r="H647" s="39"/>
    </row>
    <row r="648" spans="2:8" s="40" customFormat="1" ht="15.75" customHeight="1" x14ac:dyDescent="0.25">
      <c r="B648" s="39"/>
      <c r="C648" s="39"/>
      <c r="D648" s="39"/>
      <c r="E648" s="39"/>
      <c r="F648" s="39"/>
      <c r="G648" s="39"/>
      <c r="H648" s="39"/>
    </row>
    <row r="649" spans="2:8" s="40" customFormat="1" ht="15.75" customHeight="1" x14ac:dyDescent="0.25">
      <c r="B649" s="39"/>
      <c r="C649" s="39"/>
      <c r="D649" s="39"/>
      <c r="E649" s="39"/>
      <c r="F649" s="39"/>
      <c r="G649" s="39"/>
      <c r="H649" s="39"/>
    </row>
    <row r="650" spans="2:8" s="40" customFormat="1" ht="15.75" customHeight="1" x14ac:dyDescent="0.25">
      <c r="B650" s="39"/>
      <c r="C650" s="39"/>
      <c r="D650" s="39"/>
      <c r="E650" s="39"/>
      <c r="F650" s="39"/>
      <c r="G650" s="39"/>
      <c r="H650" s="39"/>
    </row>
    <row r="651" spans="2:8" s="40" customFormat="1" ht="15.75" customHeight="1" x14ac:dyDescent="0.25">
      <c r="B651" s="39"/>
      <c r="C651" s="39"/>
      <c r="D651" s="39"/>
      <c r="E651" s="39"/>
      <c r="F651" s="39"/>
      <c r="G651" s="39"/>
      <c r="H651" s="39"/>
    </row>
    <row r="652" spans="2:8" s="40" customFormat="1" ht="15.75" customHeight="1" x14ac:dyDescent="0.25">
      <c r="B652" s="39"/>
      <c r="C652" s="39"/>
      <c r="D652" s="39"/>
      <c r="E652" s="39"/>
      <c r="F652" s="39"/>
      <c r="G652" s="39"/>
      <c r="H652" s="39"/>
    </row>
    <row r="653" spans="2:8" s="40" customFormat="1" ht="15.75" customHeight="1" x14ac:dyDescent="0.25">
      <c r="B653" s="39"/>
      <c r="C653" s="39"/>
      <c r="D653" s="39"/>
      <c r="E653" s="39"/>
      <c r="F653" s="39"/>
      <c r="G653" s="39"/>
      <c r="H653" s="39"/>
    </row>
    <row r="654" spans="2:8" s="40" customFormat="1" ht="15.75" customHeight="1" x14ac:dyDescent="0.25">
      <c r="B654" s="39"/>
      <c r="C654" s="39"/>
      <c r="D654" s="39"/>
      <c r="E654" s="39"/>
      <c r="F654" s="39"/>
      <c r="G654" s="39"/>
      <c r="H654" s="39"/>
    </row>
    <row r="655" spans="2:8" s="40" customFormat="1" ht="15.75" customHeight="1" x14ac:dyDescent="0.25">
      <c r="B655" s="39"/>
      <c r="C655" s="39"/>
      <c r="D655" s="39"/>
      <c r="E655" s="39"/>
      <c r="F655" s="39"/>
      <c r="G655" s="39"/>
      <c r="H655" s="39"/>
    </row>
    <row r="656" spans="2:8" s="40" customFormat="1" ht="15.75" customHeight="1" x14ac:dyDescent="0.25">
      <c r="B656" s="39"/>
      <c r="C656" s="39"/>
      <c r="D656" s="39"/>
      <c r="E656" s="39"/>
      <c r="F656" s="39"/>
      <c r="G656" s="39"/>
      <c r="H656" s="39"/>
    </row>
    <row r="657" spans="2:8" s="40" customFormat="1" ht="15.75" customHeight="1" x14ac:dyDescent="0.25">
      <c r="B657" s="39"/>
      <c r="C657" s="39"/>
      <c r="D657" s="39"/>
      <c r="E657" s="39"/>
      <c r="F657" s="39"/>
      <c r="G657" s="39"/>
      <c r="H657" s="39"/>
    </row>
    <row r="658" spans="2:8" s="40" customFormat="1" ht="15.75" customHeight="1" x14ac:dyDescent="0.25">
      <c r="B658" s="39"/>
      <c r="C658" s="39"/>
      <c r="D658" s="39"/>
      <c r="E658" s="39"/>
      <c r="F658" s="39"/>
      <c r="G658" s="39"/>
      <c r="H658" s="39"/>
    </row>
    <row r="659" spans="2:8" s="40" customFormat="1" ht="15.75" customHeight="1" x14ac:dyDescent="0.25">
      <c r="B659" s="39"/>
      <c r="C659" s="39"/>
      <c r="D659" s="39"/>
      <c r="E659" s="39"/>
      <c r="F659" s="39"/>
      <c r="G659" s="39"/>
      <c r="H659" s="39"/>
    </row>
    <row r="660" spans="2:8" s="40" customFormat="1" ht="15.75" customHeight="1" x14ac:dyDescent="0.25">
      <c r="B660" s="39"/>
      <c r="C660" s="39"/>
      <c r="D660" s="39"/>
      <c r="E660" s="39"/>
      <c r="F660" s="39"/>
      <c r="G660" s="39"/>
      <c r="H660" s="39"/>
    </row>
    <row r="661" spans="2:8" s="40" customFormat="1" ht="15.75" customHeight="1" x14ac:dyDescent="0.25">
      <c r="B661" s="39"/>
      <c r="C661" s="39"/>
      <c r="D661" s="39"/>
      <c r="E661" s="39"/>
      <c r="F661" s="39"/>
      <c r="G661" s="39"/>
      <c r="H661" s="39"/>
    </row>
    <row r="662" spans="2:8" s="40" customFormat="1" ht="15.75" customHeight="1" x14ac:dyDescent="0.25">
      <c r="B662" s="39"/>
      <c r="C662" s="39"/>
      <c r="D662" s="39"/>
      <c r="E662" s="39"/>
      <c r="F662" s="39"/>
      <c r="G662" s="39"/>
      <c r="H662" s="39"/>
    </row>
    <row r="663" spans="2:8" s="40" customFormat="1" ht="15.75" customHeight="1" x14ac:dyDescent="0.25">
      <c r="B663" s="39"/>
      <c r="C663" s="39"/>
      <c r="D663" s="39"/>
      <c r="E663" s="39"/>
      <c r="F663" s="39"/>
      <c r="G663" s="39"/>
      <c r="H663" s="39"/>
    </row>
    <row r="664" spans="2:8" s="40" customFormat="1" ht="15.75" customHeight="1" x14ac:dyDescent="0.25">
      <c r="B664" s="39"/>
      <c r="C664" s="39"/>
      <c r="D664" s="39"/>
      <c r="E664" s="39"/>
      <c r="F664" s="39"/>
      <c r="G664" s="39"/>
      <c r="H664" s="39"/>
    </row>
    <row r="665" spans="2:8" s="40" customFormat="1" ht="15.75" customHeight="1" x14ac:dyDescent="0.25">
      <c r="B665" s="39"/>
      <c r="C665" s="39"/>
      <c r="D665" s="39"/>
      <c r="E665" s="39"/>
      <c r="F665" s="39"/>
      <c r="G665" s="39"/>
      <c r="H665" s="39"/>
    </row>
    <row r="666" spans="2:8" s="40" customFormat="1" ht="15.75" customHeight="1" x14ac:dyDescent="0.25">
      <c r="B666" s="39"/>
      <c r="C666" s="39"/>
      <c r="D666" s="39"/>
      <c r="E666" s="39"/>
      <c r="F666" s="39"/>
      <c r="G666" s="39"/>
      <c r="H666" s="39"/>
    </row>
    <row r="667" spans="2:8" s="40" customFormat="1" ht="15.75" customHeight="1" x14ac:dyDescent="0.25">
      <c r="B667" s="39"/>
      <c r="C667" s="39"/>
      <c r="D667" s="39"/>
      <c r="E667" s="39"/>
      <c r="F667" s="39"/>
      <c r="G667" s="39"/>
      <c r="H667" s="39"/>
    </row>
    <row r="668" spans="2:8" s="40" customFormat="1" ht="15.75" customHeight="1" x14ac:dyDescent="0.25">
      <c r="B668" s="39"/>
      <c r="C668" s="39"/>
      <c r="D668" s="39"/>
      <c r="E668" s="39"/>
      <c r="F668" s="39"/>
      <c r="G668" s="39"/>
      <c r="H668" s="39"/>
    </row>
    <row r="669" spans="2:8" s="40" customFormat="1" ht="15.75" customHeight="1" x14ac:dyDescent="0.25">
      <c r="B669" s="39"/>
      <c r="C669" s="39"/>
      <c r="D669" s="39"/>
      <c r="E669" s="39"/>
      <c r="F669" s="39"/>
      <c r="G669" s="39"/>
      <c r="H669" s="39"/>
    </row>
    <row r="670" spans="2:8" s="40" customFormat="1" ht="15.75" customHeight="1" x14ac:dyDescent="0.25">
      <c r="B670" s="39"/>
      <c r="C670" s="39"/>
      <c r="D670" s="39"/>
      <c r="E670" s="39"/>
      <c r="F670" s="39"/>
      <c r="G670" s="39"/>
      <c r="H670" s="39"/>
    </row>
    <row r="671" spans="2:8" s="40" customFormat="1" ht="15.75" customHeight="1" x14ac:dyDescent="0.25">
      <c r="B671" s="39"/>
      <c r="C671" s="39"/>
      <c r="D671" s="39"/>
      <c r="E671" s="39"/>
      <c r="F671" s="39"/>
      <c r="G671" s="39"/>
      <c r="H671" s="39"/>
    </row>
    <row r="672" spans="2:8" s="40" customFormat="1" ht="15.75" customHeight="1" x14ac:dyDescent="0.25">
      <c r="B672" s="39"/>
      <c r="C672" s="39"/>
      <c r="D672" s="39"/>
      <c r="E672" s="39"/>
      <c r="F672" s="39"/>
      <c r="G672" s="39"/>
      <c r="H672" s="39"/>
    </row>
    <row r="673" spans="2:8" s="40" customFormat="1" ht="15.75" customHeight="1" x14ac:dyDescent="0.25">
      <c r="B673" s="39"/>
      <c r="C673" s="39"/>
      <c r="D673" s="39"/>
      <c r="E673" s="39"/>
      <c r="F673" s="39"/>
      <c r="G673" s="39"/>
      <c r="H673" s="39"/>
    </row>
    <row r="674" spans="2:8" s="40" customFormat="1" ht="15.75" customHeight="1" x14ac:dyDescent="0.25">
      <c r="B674" s="39"/>
      <c r="C674" s="39"/>
      <c r="D674" s="39"/>
      <c r="E674" s="39"/>
      <c r="F674" s="39"/>
      <c r="G674" s="39"/>
      <c r="H674" s="39"/>
    </row>
    <row r="675" spans="2:8" s="40" customFormat="1" ht="15.75" customHeight="1" x14ac:dyDescent="0.25">
      <c r="B675" s="39"/>
      <c r="C675" s="39"/>
      <c r="D675" s="39"/>
      <c r="E675" s="39"/>
      <c r="F675" s="39"/>
      <c r="G675" s="39"/>
      <c r="H675" s="39"/>
    </row>
    <row r="676" spans="2:8" s="40" customFormat="1" ht="15.75" customHeight="1" x14ac:dyDescent="0.25">
      <c r="B676" s="39"/>
      <c r="C676" s="39"/>
      <c r="D676" s="39"/>
      <c r="E676" s="39"/>
      <c r="F676" s="39"/>
      <c r="G676" s="39"/>
      <c r="H676" s="39"/>
    </row>
    <row r="677" spans="2:8" s="40" customFormat="1" ht="15.75" customHeight="1" x14ac:dyDescent="0.25">
      <c r="B677" s="39"/>
      <c r="C677" s="39"/>
      <c r="D677" s="39"/>
      <c r="E677" s="39"/>
      <c r="F677" s="39"/>
      <c r="G677" s="39"/>
      <c r="H677" s="39"/>
    </row>
    <row r="678" spans="2:8" s="40" customFormat="1" ht="15.75" customHeight="1" x14ac:dyDescent="0.25">
      <c r="B678" s="39"/>
      <c r="C678" s="39"/>
      <c r="D678" s="39"/>
      <c r="E678" s="39"/>
      <c r="F678" s="39"/>
      <c r="G678" s="39"/>
      <c r="H678" s="39"/>
    </row>
    <row r="679" spans="2:8" s="40" customFormat="1" ht="15.75" customHeight="1" x14ac:dyDescent="0.25">
      <c r="B679" s="39"/>
      <c r="C679" s="39"/>
      <c r="D679" s="39"/>
      <c r="E679" s="39"/>
      <c r="F679" s="39"/>
      <c r="G679" s="39"/>
      <c r="H679" s="39"/>
    </row>
    <row r="680" spans="2:8" s="40" customFormat="1" ht="15.75" customHeight="1" x14ac:dyDescent="0.25">
      <c r="B680" s="39"/>
      <c r="C680" s="39"/>
      <c r="D680" s="39"/>
      <c r="E680" s="39"/>
      <c r="F680" s="39"/>
      <c r="G680" s="39"/>
      <c r="H680" s="39"/>
    </row>
    <row r="681" spans="2:8" s="40" customFormat="1" ht="15.75" customHeight="1" x14ac:dyDescent="0.25">
      <c r="B681" s="39"/>
      <c r="C681" s="39"/>
      <c r="D681" s="39"/>
      <c r="E681" s="39"/>
      <c r="F681" s="39"/>
      <c r="G681" s="39"/>
      <c r="H681" s="39"/>
    </row>
    <row r="682" spans="2:8" s="40" customFormat="1" ht="15.75" customHeight="1" x14ac:dyDescent="0.25">
      <c r="B682" s="39"/>
      <c r="C682" s="39"/>
      <c r="D682" s="39"/>
      <c r="E682" s="39"/>
      <c r="F682" s="39"/>
      <c r="G682" s="39"/>
      <c r="H682" s="39"/>
    </row>
    <row r="683" spans="2:8" s="40" customFormat="1" ht="15.75" customHeight="1" x14ac:dyDescent="0.25">
      <c r="B683" s="39"/>
      <c r="C683" s="39"/>
      <c r="D683" s="39"/>
      <c r="E683" s="39"/>
      <c r="F683" s="39"/>
      <c r="G683" s="39"/>
      <c r="H683" s="39"/>
    </row>
    <row r="684" spans="2:8" s="40" customFormat="1" ht="15.75" customHeight="1" x14ac:dyDescent="0.25">
      <c r="B684" s="39"/>
      <c r="C684" s="39"/>
      <c r="D684" s="39"/>
      <c r="E684" s="39"/>
      <c r="F684" s="39"/>
      <c r="G684" s="39"/>
      <c r="H684" s="39"/>
    </row>
    <row r="685" spans="2:8" s="40" customFormat="1" ht="15.75" customHeight="1" x14ac:dyDescent="0.25">
      <c r="B685" s="39"/>
      <c r="C685" s="39"/>
      <c r="D685" s="39"/>
      <c r="E685" s="39"/>
      <c r="F685" s="39"/>
      <c r="G685" s="39"/>
      <c r="H685" s="39"/>
    </row>
    <row r="686" spans="2:8" s="40" customFormat="1" ht="15.75" customHeight="1" x14ac:dyDescent="0.25">
      <c r="B686" s="39"/>
      <c r="C686" s="39"/>
      <c r="D686" s="39"/>
      <c r="E686" s="39"/>
      <c r="F686" s="39"/>
      <c r="G686" s="39"/>
      <c r="H686" s="39"/>
    </row>
    <row r="687" spans="2:8" s="40" customFormat="1" ht="15.75" customHeight="1" x14ac:dyDescent="0.25">
      <c r="B687" s="39"/>
      <c r="C687" s="39"/>
      <c r="D687" s="39"/>
      <c r="E687" s="39"/>
      <c r="F687" s="39"/>
      <c r="G687" s="39"/>
      <c r="H687" s="39"/>
    </row>
    <row r="688" spans="2:8" s="40" customFormat="1" ht="15.75" customHeight="1" x14ac:dyDescent="0.25">
      <c r="B688" s="39"/>
      <c r="C688" s="39"/>
      <c r="D688" s="39"/>
      <c r="E688" s="39"/>
      <c r="F688" s="39"/>
      <c r="G688" s="39"/>
      <c r="H688" s="39"/>
    </row>
    <row r="689" spans="2:8" s="40" customFormat="1" ht="15.75" customHeight="1" x14ac:dyDescent="0.25">
      <c r="B689" s="39"/>
      <c r="C689" s="39"/>
      <c r="D689" s="39"/>
      <c r="E689" s="39"/>
      <c r="F689" s="39"/>
      <c r="G689" s="39"/>
      <c r="H689" s="39"/>
    </row>
    <row r="690" spans="2:8" s="40" customFormat="1" ht="15.75" customHeight="1" x14ac:dyDescent="0.25">
      <c r="B690" s="39"/>
      <c r="C690" s="39"/>
      <c r="D690" s="39"/>
      <c r="E690" s="39"/>
      <c r="F690" s="39"/>
      <c r="G690" s="39"/>
      <c r="H690" s="39"/>
    </row>
    <row r="691" spans="2:8" s="40" customFormat="1" ht="15.75" customHeight="1" x14ac:dyDescent="0.25">
      <c r="B691" s="39"/>
      <c r="C691" s="39"/>
      <c r="D691" s="39"/>
      <c r="E691" s="39"/>
      <c r="F691" s="39"/>
      <c r="G691" s="39"/>
      <c r="H691" s="39"/>
    </row>
    <row r="692" spans="2:8" s="40" customFormat="1" ht="15.75" customHeight="1" x14ac:dyDescent="0.25">
      <c r="B692" s="39"/>
      <c r="C692" s="39"/>
      <c r="D692" s="39"/>
      <c r="E692" s="39"/>
      <c r="F692" s="39"/>
      <c r="G692" s="39"/>
      <c r="H692" s="39"/>
    </row>
    <row r="693" spans="2:8" s="40" customFormat="1" ht="15.75" customHeight="1" x14ac:dyDescent="0.25">
      <c r="B693" s="39"/>
      <c r="C693" s="39"/>
      <c r="D693" s="39"/>
      <c r="E693" s="39"/>
      <c r="F693" s="39"/>
      <c r="G693" s="39"/>
      <c r="H693" s="39"/>
    </row>
    <row r="694" spans="2:8" s="40" customFormat="1" ht="15.75" customHeight="1" x14ac:dyDescent="0.25">
      <c r="B694" s="39"/>
      <c r="C694" s="39"/>
      <c r="D694" s="39"/>
      <c r="E694" s="39"/>
      <c r="F694" s="39"/>
      <c r="G694" s="39"/>
      <c r="H694" s="39"/>
    </row>
    <row r="695" spans="2:8" s="40" customFormat="1" ht="15.75" customHeight="1" x14ac:dyDescent="0.25">
      <c r="B695" s="39"/>
      <c r="C695" s="39"/>
      <c r="D695" s="39"/>
      <c r="E695" s="39"/>
      <c r="F695" s="39"/>
      <c r="G695" s="39"/>
      <c r="H695" s="39"/>
    </row>
    <row r="696" spans="2:8" s="40" customFormat="1" ht="15.75" customHeight="1" x14ac:dyDescent="0.25">
      <c r="B696" s="39"/>
      <c r="C696" s="39"/>
      <c r="D696" s="39"/>
      <c r="E696" s="39"/>
      <c r="F696" s="39"/>
      <c r="G696" s="39"/>
      <c r="H696" s="39"/>
    </row>
    <row r="697" spans="2:8" s="40" customFormat="1" ht="15.75" customHeight="1" x14ac:dyDescent="0.25">
      <c r="B697" s="39"/>
      <c r="C697" s="39"/>
      <c r="D697" s="39"/>
      <c r="E697" s="39"/>
      <c r="F697" s="39"/>
      <c r="G697" s="39"/>
      <c r="H697" s="39"/>
    </row>
    <row r="698" spans="2:8" s="40" customFormat="1" ht="15.75" customHeight="1" x14ac:dyDescent="0.25">
      <c r="B698" s="39"/>
      <c r="C698" s="39"/>
      <c r="D698" s="39"/>
      <c r="E698" s="39"/>
      <c r="F698" s="39"/>
      <c r="G698" s="39"/>
      <c r="H698" s="39"/>
    </row>
    <row r="699" spans="2:8" s="40" customFormat="1" ht="15.75" customHeight="1" x14ac:dyDescent="0.25">
      <c r="B699" s="39"/>
      <c r="C699" s="39"/>
      <c r="D699" s="39"/>
      <c r="E699" s="39"/>
      <c r="F699" s="39"/>
      <c r="G699" s="39"/>
      <c r="H699" s="39"/>
    </row>
    <row r="700" spans="2:8" s="40" customFormat="1" ht="15.75" customHeight="1" x14ac:dyDescent="0.25">
      <c r="B700" s="39"/>
      <c r="C700" s="39"/>
      <c r="D700" s="39"/>
      <c r="E700" s="39"/>
      <c r="F700" s="39"/>
      <c r="G700" s="39"/>
      <c r="H700" s="39"/>
    </row>
    <row r="701" spans="2:8" s="40" customFormat="1" ht="15.75" customHeight="1" x14ac:dyDescent="0.25">
      <c r="B701" s="39"/>
      <c r="C701" s="39"/>
      <c r="D701" s="39"/>
      <c r="E701" s="39"/>
      <c r="F701" s="39"/>
      <c r="G701" s="39"/>
      <c r="H701" s="39"/>
    </row>
    <row r="702" spans="2:8" s="40" customFormat="1" ht="15.75" customHeight="1" x14ac:dyDescent="0.25">
      <c r="B702" s="39"/>
      <c r="C702" s="39"/>
      <c r="D702" s="39"/>
      <c r="E702" s="39"/>
      <c r="F702" s="39"/>
      <c r="G702" s="39"/>
      <c r="H702" s="39"/>
    </row>
    <row r="703" spans="2:8" s="40" customFormat="1" ht="15.75" customHeight="1" x14ac:dyDescent="0.25">
      <c r="B703" s="39"/>
      <c r="C703" s="39"/>
      <c r="D703" s="39"/>
      <c r="E703" s="39"/>
      <c r="F703" s="39"/>
      <c r="G703" s="39"/>
      <c r="H703" s="39"/>
    </row>
    <row r="704" spans="2:8" s="40" customFormat="1" ht="15.75" customHeight="1" x14ac:dyDescent="0.25">
      <c r="B704" s="39"/>
      <c r="C704" s="39"/>
      <c r="D704" s="39"/>
      <c r="E704" s="39"/>
      <c r="F704" s="39"/>
      <c r="G704" s="39"/>
      <c r="H704" s="39"/>
    </row>
    <row r="705" spans="2:8" s="40" customFormat="1" ht="15.75" customHeight="1" x14ac:dyDescent="0.25">
      <c r="B705" s="39"/>
      <c r="C705" s="39"/>
      <c r="D705" s="39"/>
      <c r="E705" s="39"/>
      <c r="F705" s="39"/>
      <c r="G705" s="39"/>
      <c r="H705" s="39"/>
    </row>
    <row r="706" spans="2:8" s="40" customFormat="1" ht="15.75" customHeight="1" x14ac:dyDescent="0.25">
      <c r="B706" s="39"/>
      <c r="C706" s="39"/>
      <c r="D706" s="39"/>
      <c r="E706" s="39"/>
      <c r="F706" s="39"/>
      <c r="G706" s="39"/>
      <c r="H706" s="39"/>
    </row>
    <row r="707" spans="2:8" s="40" customFormat="1" ht="15.75" customHeight="1" x14ac:dyDescent="0.25">
      <c r="B707" s="39"/>
      <c r="C707" s="39"/>
      <c r="D707" s="39"/>
      <c r="E707" s="39"/>
      <c r="F707" s="39"/>
      <c r="G707" s="39"/>
      <c r="H707" s="39"/>
    </row>
    <row r="708" spans="2:8" s="40" customFormat="1" ht="15.75" customHeight="1" x14ac:dyDescent="0.25">
      <c r="B708" s="39"/>
      <c r="C708" s="39"/>
      <c r="D708" s="39"/>
      <c r="E708" s="39"/>
      <c r="F708" s="39"/>
      <c r="G708" s="39"/>
      <c r="H708" s="39"/>
    </row>
    <row r="709" spans="2:8" s="40" customFormat="1" ht="15.75" customHeight="1" x14ac:dyDescent="0.25">
      <c r="B709" s="39"/>
      <c r="C709" s="39"/>
      <c r="D709" s="39"/>
      <c r="E709" s="39"/>
      <c r="F709" s="39"/>
      <c r="G709" s="39"/>
      <c r="H709" s="39"/>
    </row>
    <row r="710" spans="2:8" s="40" customFormat="1" ht="15.75" customHeight="1" x14ac:dyDescent="0.25">
      <c r="B710" s="39"/>
      <c r="C710" s="39"/>
      <c r="D710" s="39"/>
      <c r="E710" s="39"/>
      <c r="F710" s="39"/>
      <c r="G710" s="39"/>
      <c r="H710" s="39"/>
    </row>
    <row r="711" spans="2:8" s="40" customFormat="1" ht="15.75" customHeight="1" x14ac:dyDescent="0.25">
      <c r="B711" s="39"/>
      <c r="C711" s="39"/>
      <c r="D711" s="39"/>
      <c r="E711" s="39"/>
      <c r="F711" s="39"/>
      <c r="G711" s="39"/>
      <c r="H711" s="39"/>
    </row>
    <row r="712" spans="2:8" s="40" customFormat="1" ht="15.75" customHeight="1" x14ac:dyDescent="0.25">
      <c r="B712" s="39"/>
      <c r="C712" s="39"/>
      <c r="D712" s="39"/>
      <c r="E712" s="39"/>
      <c r="F712" s="39"/>
      <c r="G712" s="39"/>
      <c r="H712" s="39"/>
    </row>
    <row r="713" spans="2:8" s="40" customFormat="1" ht="15.75" customHeight="1" x14ac:dyDescent="0.25">
      <c r="B713" s="39"/>
      <c r="C713" s="39"/>
      <c r="D713" s="39"/>
      <c r="E713" s="39"/>
      <c r="F713" s="39"/>
      <c r="G713" s="39"/>
      <c r="H713" s="39"/>
    </row>
    <row r="714" spans="2:8" s="40" customFormat="1" ht="15.75" customHeight="1" x14ac:dyDescent="0.25">
      <c r="B714" s="39"/>
      <c r="C714" s="39"/>
      <c r="D714" s="39"/>
      <c r="E714" s="39"/>
      <c r="F714" s="39"/>
      <c r="G714" s="39"/>
      <c r="H714" s="39"/>
    </row>
    <row r="715" spans="2:8" s="40" customFormat="1" ht="15.75" customHeight="1" x14ac:dyDescent="0.25">
      <c r="B715" s="39"/>
      <c r="C715" s="39"/>
      <c r="D715" s="39"/>
      <c r="E715" s="39"/>
      <c r="F715" s="39"/>
      <c r="G715" s="39"/>
      <c r="H715" s="39"/>
    </row>
    <row r="716" spans="2:8" s="40" customFormat="1" ht="15.75" customHeight="1" x14ac:dyDescent="0.25">
      <c r="B716" s="39"/>
      <c r="C716" s="39"/>
      <c r="D716" s="39"/>
      <c r="E716" s="39"/>
      <c r="F716" s="39"/>
      <c r="G716" s="39"/>
      <c r="H716" s="39"/>
    </row>
    <row r="717" spans="2:8" s="40" customFormat="1" ht="15.75" customHeight="1" x14ac:dyDescent="0.25">
      <c r="B717" s="39"/>
      <c r="C717" s="39"/>
      <c r="D717" s="39"/>
      <c r="E717" s="39"/>
      <c r="F717" s="39"/>
      <c r="G717" s="39"/>
      <c r="H717" s="39"/>
    </row>
    <row r="718" spans="2:8" s="40" customFormat="1" ht="15.75" customHeight="1" x14ac:dyDescent="0.25">
      <c r="B718" s="39"/>
      <c r="C718" s="39"/>
      <c r="D718" s="39"/>
      <c r="E718" s="39"/>
      <c r="F718" s="39"/>
      <c r="G718" s="39"/>
      <c r="H718" s="39"/>
    </row>
    <row r="719" spans="2:8" s="40" customFormat="1" ht="15.75" customHeight="1" x14ac:dyDescent="0.25">
      <c r="B719" s="39"/>
      <c r="C719" s="39"/>
      <c r="D719" s="39"/>
      <c r="E719" s="39"/>
      <c r="F719" s="39"/>
      <c r="G719" s="39"/>
      <c r="H719" s="39"/>
    </row>
    <row r="720" spans="2:8" s="40" customFormat="1" ht="15.75" customHeight="1" x14ac:dyDescent="0.25">
      <c r="B720" s="39"/>
      <c r="C720" s="39"/>
      <c r="D720" s="39"/>
      <c r="E720" s="39"/>
      <c r="F720" s="39"/>
      <c r="G720" s="39"/>
      <c r="H720" s="39"/>
    </row>
    <row r="721" spans="2:8" s="40" customFormat="1" ht="15.75" customHeight="1" x14ac:dyDescent="0.25">
      <c r="B721" s="39"/>
      <c r="C721" s="39"/>
      <c r="D721" s="39"/>
      <c r="E721" s="39"/>
      <c r="F721" s="39"/>
      <c r="G721" s="39"/>
      <c r="H721" s="39"/>
    </row>
    <row r="722" spans="2:8" s="40" customFormat="1" ht="15.75" customHeight="1" x14ac:dyDescent="0.25">
      <c r="B722" s="39"/>
      <c r="C722" s="39"/>
      <c r="D722" s="39"/>
      <c r="E722" s="39"/>
      <c r="F722" s="39"/>
      <c r="G722" s="39"/>
      <c r="H722" s="39"/>
    </row>
    <row r="723" spans="2:8" s="40" customFormat="1" ht="15.75" customHeight="1" x14ac:dyDescent="0.25">
      <c r="B723" s="39"/>
      <c r="C723" s="39"/>
      <c r="D723" s="39"/>
      <c r="E723" s="39"/>
      <c r="F723" s="39"/>
      <c r="G723" s="39"/>
      <c r="H723" s="39"/>
    </row>
    <row r="724" spans="2:8" s="40" customFormat="1" ht="15.75" customHeight="1" x14ac:dyDescent="0.25">
      <c r="B724" s="39"/>
      <c r="C724" s="39"/>
      <c r="D724" s="39"/>
      <c r="E724" s="39"/>
      <c r="F724" s="39"/>
      <c r="G724" s="39"/>
      <c r="H724" s="39"/>
    </row>
    <row r="725" spans="2:8" s="40" customFormat="1" ht="15.75" customHeight="1" x14ac:dyDescent="0.25">
      <c r="B725" s="39"/>
      <c r="C725" s="39"/>
      <c r="D725" s="39"/>
      <c r="E725" s="39"/>
      <c r="F725" s="39"/>
      <c r="G725" s="39"/>
      <c r="H725" s="39"/>
    </row>
    <row r="726" spans="2:8" s="40" customFormat="1" ht="15.75" customHeight="1" x14ac:dyDescent="0.25">
      <c r="B726" s="39"/>
      <c r="C726" s="39"/>
      <c r="D726" s="39"/>
      <c r="E726" s="39"/>
      <c r="F726" s="39"/>
      <c r="G726" s="39"/>
      <c r="H726" s="39"/>
    </row>
    <row r="727" spans="2:8" s="40" customFormat="1" ht="15.75" customHeight="1" x14ac:dyDescent="0.25">
      <c r="B727" s="39"/>
      <c r="C727" s="39"/>
      <c r="D727" s="39"/>
      <c r="E727" s="39"/>
      <c r="F727" s="39"/>
      <c r="G727" s="39"/>
      <c r="H727" s="39"/>
    </row>
    <row r="728" spans="2:8" s="40" customFormat="1" ht="15.75" customHeight="1" x14ac:dyDescent="0.25">
      <c r="B728" s="39"/>
      <c r="C728" s="39"/>
      <c r="D728" s="39"/>
      <c r="E728" s="39"/>
      <c r="F728" s="39"/>
      <c r="G728" s="39"/>
      <c r="H728" s="39"/>
    </row>
    <row r="729" spans="2:8" s="40" customFormat="1" ht="15.75" customHeight="1" x14ac:dyDescent="0.25">
      <c r="B729" s="39"/>
      <c r="C729" s="39"/>
      <c r="D729" s="39"/>
      <c r="E729" s="39"/>
      <c r="F729" s="39"/>
      <c r="G729" s="39"/>
      <c r="H729" s="39"/>
    </row>
    <row r="730" spans="2:8" s="40" customFormat="1" ht="15.75" customHeight="1" x14ac:dyDescent="0.25">
      <c r="B730" s="39"/>
      <c r="C730" s="39"/>
      <c r="D730" s="39"/>
      <c r="E730" s="39"/>
      <c r="F730" s="39"/>
      <c r="G730" s="39"/>
      <c r="H730" s="39"/>
    </row>
    <row r="731" spans="2:8" s="40" customFormat="1" ht="15.75" customHeight="1" x14ac:dyDescent="0.25">
      <c r="B731" s="39"/>
      <c r="C731" s="39"/>
      <c r="D731" s="39"/>
      <c r="E731" s="39"/>
      <c r="F731" s="39"/>
      <c r="G731" s="39"/>
      <c r="H731" s="39"/>
    </row>
    <row r="732" spans="2:8" s="40" customFormat="1" ht="15.75" customHeight="1" x14ac:dyDescent="0.25">
      <c r="B732" s="39"/>
      <c r="C732" s="39"/>
      <c r="D732" s="39"/>
      <c r="E732" s="39"/>
      <c r="F732" s="39"/>
      <c r="G732" s="39"/>
      <c r="H732" s="39"/>
    </row>
    <row r="733" spans="2:8" s="40" customFormat="1" ht="15.75" customHeight="1" x14ac:dyDescent="0.25">
      <c r="B733" s="39"/>
      <c r="C733" s="39"/>
      <c r="D733" s="39"/>
      <c r="E733" s="39"/>
      <c r="F733" s="39"/>
      <c r="G733" s="39"/>
      <c r="H733" s="39"/>
    </row>
    <row r="734" spans="2:8" s="40" customFormat="1" ht="15.75" customHeight="1" x14ac:dyDescent="0.25">
      <c r="B734" s="39"/>
      <c r="C734" s="39"/>
      <c r="D734" s="39"/>
      <c r="E734" s="39"/>
      <c r="F734" s="39"/>
      <c r="G734" s="39"/>
      <c r="H734" s="39"/>
    </row>
    <row r="735" spans="2:8" s="40" customFormat="1" ht="15.75" customHeight="1" x14ac:dyDescent="0.25">
      <c r="B735" s="39"/>
      <c r="C735" s="39"/>
      <c r="D735" s="39"/>
      <c r="E735" s="39"/>
      <c r="F735" s="39"/>
      <c r="G735" s="39"/>
      <c r="H735" s="39"/>
    </row>
    <row r="736" spans="2:8" s="40" customFormat="1" ht="15.75" customHeight="1" x14ac:dyDescent="0.25">
      <c r="B736" s="39"/>
      <c r="C736" s="39"/>
      <c r="D736" s="39"/>
      <c r="E736" s="39"/>
      <c r="F736" s="39"/>
      <c r="G736" s="39"/>
      <c r="H736" s="39"/>
    </row>
    <row r="737" spans="2:8" s="40" customFormat="1" ht="15.75" customHeight="1" x14ac:dyDescent="0.25">
      <c r="B737" s="39"/>
      <c r="C737" s="39"/>
      <c r="D737" s="39"/>
      <c r="E737" s="39"/>
      <c r="F737" s="39"/>
      <c r="G737" s="39"/>
      <c r="H737" s="39"/>
    </row>
    <row r="738" spans="2:8" s="40" customFormat="1" ht="15.75" customHeight="1" x14ac:dyDescent="0.25">
      <c r="B738" s="39"/>
      <c r="C738" s="39"/>
      <c r="D738" s="39"/>
      <c r="E738" s="39"/>
      <c r="F738" s="39"/>
      <c r="G738" s="39"/>
      <c r="H738" s="39"/>
    </row>
    <row r="739" spans="2:8" s="40" customFormat="1" ht="15.75" customHeight="1" x14ac:dyDescent="0.25">
      <c r="B739" s="39"/>
      <c r="C739" s="39"/>
      <c r="D739" s="39"/>
      <c r="E739" s="39"/>
      <c r="F739" s="39"/>
      <c r="G739" s="39"/>
      <c r="H739" s="39"/>
    </row>
    <row r="740" spans="2:8" s="40" customFormat="1" ht="15.75" customHeight="1" x14ac:dyDescent="0.25">
      <c r="B740" s="39"/>
      <c r="C740" s="39"/>
      <c r="D740" s="39"/>
      <c r="E740" s="39"/>
      <c r="F740" s="39"/>
      <c r="G740" s="39"/>
      <c r="H740" s="39"/>
    </row>
    <row r="741" spans="2:8" s="40" customFormat="1" ht="15.75" customHeight="1" x14ac:dyDescent="0.25">
      <c r="B741" s="39"/>
      <c r="C741" s="39"/>
      <c r="D741" s="39"/>
      <c r="E741" s="39"/>
      <c r="F741" s="39"/>
      <c r="G741" s="39"/>
      <c r="H741" s="39"/>
    </row>
    <row r="742" spans="2:8" s="40" customFormat="1" ht="15.75" customHeight="1" x14ac:dyDescent="0.25">
      <c r="B742" s="39"/>
      <c r="C742" s="39"/>
      <c r="D742" s="39"/>
      <c r="E742" s="39"/>
      <c r="F742" s="39"/>
      <c r="G742" s="39"/>
      <c r="H742" s="39"/>
    </row>
    <row r="743" spans="2:8" s="40" customFormat="1" ht="15.75" customHeight="1" x14ac:dyDescent="0.25">
      <c r="B743" s="39"/>
      <c r="C743" s="39"/>
      <c r="D743" s="39"/>
      <c r="E743" s="39"/>
      <c r="F743" s="39"/>
      <c r="G743" s="39"/>
      <c r="H743" s="39"/>
    </row>
    <row r="744" spans="2:8" s="40" customFormat="1" ht="15.75" customHeight="1" x14ac:dyDescent="0.25">
      <c r="B744" s="39"/>
      <c r="C744" s="39"/>
      <c r="D744" s="39"/>
      <c r="E744" s="39"/>
      <c r="F744" s="39"/>
      <c r="G744" s="39"/>
      <c r="H744" s="39"/>
    </row>
    <row r="745" spans="2:8" s="40" customFormat="1" ht="15.75" customHeight="1" x14ac:dyDescent="0.25">
      <c r="B745" s="39"/>
      <c r="C745" s="39"/>
      <c r="D745" s="39"/>
      <c r="E745" s="39"/>
      <c r="F745" s="39"/>
      <c r="G745" s="39"/>
      <c r="H745" s="39"/>
    </row>
    <row r="746" spans="2:8" s="40" customFormat="1" ht="15.75" customHeight="1" x14ac:dyDescent="0.25">
      <c r="B746" s="39"/>
      <c r="C746" s="39"/>
      <c r="D746" s="39"/>
      <c r="E746" s="39"/>
      <c r="F746" s="39"/>
      <c r="G746" s="39"/>
      <c r="H746" s="39"/>
    </row>
    <row r="747" spans="2:8" s="40" customFormat="1" ht="15.75" customHeight="1" x14ac:dyDescent="0.25">
      <c r="B747" s="39"/>
      <c r="C747" s="39"/>
      <c r="D747" s="39"/>
      <c r="E747" s="39"/>
      <c r="F747" s="39"/>
      <c r="G747" s="39"/>
      <c r="H747" s="39"/>
    </row>
    <row r="748" spans="2:8" s="40" customFormat="1" ht="15.75" customHeight="1" x14ac:dyDescent="0.25">
      <c r="B748" s="39"/>
      <c r="C748" s="39"/>
      <c r="D748" s="39"/>
      <c r="E748" s="39"/>
      <c r="F748" s="39"/>
      <c r="G748" s="39"/>
      <c r="H748" s="39"/>
    </row>
    <row r="749" spans="2:8" s="40" customFormat="1" ht="15.75" customHeight="1" x14ac:dyDescent="0.25">
      <c r="B749" s="39"/>
      <c r="C749" s="39"/>
      <c r="D749" s="39"/>
      <c r="E749" s="39"/>
      <c r="F749" s="39"/>
      <c r="G749" s="39"/>
      <c r="H749" s="39"/>
    </row>
    <row r="750" spans="2:8" s="40" customFormat="1" ht="15.75" customHeight="1" x14ac:dyDescent="0.25">
      <c r="B750" s="39"/>
      <c r="C750" s="39"/>
      <c r="D750" s="39"/>
      <c r="E750" s="39"/>
      <c r="F750" s="39"/>
      <c r="G750" s="39"/>
      <c r="H750" s="39"/>
    </row>
    <row r="751" spans="2:8" s="40" customFormat="1" ht="15.75" customHeight="1" x14ac:dyDescent="0.25">
      <c r="B751" s="39"/>
      <c r="C751" s="39"/>
      <c r="D751" s="39"/>
      <c r="E751" s="39"/>
      <c r="F751" s="39"/>
      <c r="G751" s="39"/>
      <c r="H751" s="39"/>
    </row>
    <row r="752" spans="2:8" s="40" customFormat="1" ht="15.75" customHeight="1" x14ac:dyDescent="0.25">
      <c r="B752" s="39"/>
      <c r="C752" s="39"/>
      <c r="D752" s="39"/>
      <c r="E752" s="39"/>
      <c r="F752" s="39"/>
      <c r="G752" s="39"/>
      <c r="H752" s="39"/>
    </row>
    <row r="753" spans="2:8" s="40" customFormat="1" ht="15.75" customHeight="1" x14ac:dyDescent="0.25">
      <c r="B753" s="39"/>
      <c r="C753" s="39"/>
      <c r="D753" s="39"/>
      <c r="E753" s="39"/>
      <c r="F753" s="39"/>
      <c r="G753" s="39"/>
      <c r="H753" s="39"/>
    </row>
    <row r="754" spans="2:8" s="40" customFormat="1" ht="15.75" customHeight="1" x14ac:dyDescent="0.25">
      <c r="B754" s="39"/>
      <c r="C754" s="39"/>
      <c r="D754" s="39"/>
      <c r="E754" s="39"/>
      <c r="F754" s="39"/>
      <c r="G754" s="39"/>
      <c r="H754" s="39"/>
    </row>
    <row r="755" spans="2:8" s="40" customFormat="1" ht="15.75" customHeight="1" x14ac:dyDescent="0.25">
      <c r="B755" s="39"/>
      <c r="C755" s="39"/>
      <c r="D755" s="39"/>
      <c r="E755" s="39"/>
      <c r="F755" s="39"/>
      <c r="G755" s="39"/>
      <c r="H755" s="39"/>
    </row>
    <row r="756" spans="2:8" s="40" customFormat="1" ht="15.75" customHeight="1" x14ac:dyDescent="0.25">
      <c r="B756" s="39"/>
      <c r="C756" s="39"/>
      <c r="D756" s="39"/>
      <c r="E756" s="39"/>
      <c r="F756" s="39"/>
      <c r="G756" s="39"/>
      <c r="H756" s="39"/>
    </row>
    <row r="757" spans="2:8" s="40" customFormat="1" ht="15.75" customHeight="1" x14ac:dyDescent="0.25">
      <c r="B757" s="39"/>
      <c r="C757" s="39"/>
      <c r="D757" s="39"/>
      <c r="E757" s="39"/>
      <c r="F757" s="39"/>
      <c r="G757" s="39"/>
      <c r="H757" s="39"/>
    </row>
    <row r="758" spans="2:8" s="40" customFormat="1" ht="15.75" customHeight="1" x14ac:dyDescent="0.25">
      <c r="B758" s="39"/>
      <c r="C758" s="39"/>
      <c r="D758" s="39"/>
      <c r="E758" s="39"/>
      <c r="F758" s="39"/>
      <c r="G758" s="39"/>
      <c r="H758" s="39"/>
    </row>
    <row r="759" spans="2:8" s="40" customFormat="1" ht="15.75" customHeight="1" x14ac:dyDescent="0.25">
      <c r="B759" s="39"/>
      <c r="C759" s="39"/>
      <c r="D759" s="39"/>
      <c r="E759" s="39"/>
      <c r="F759" s="39"/>
      <c r="G759" s="39"/>
      <c r="H759" s="39"/>
    </row>
    <row r="760" spans="2:8" s="40" customFormat="1" ht="15.75" customHeight="1" x14ac:dyDescent="0.25">
      <c r="B760" s="39"/>
      <c r="C760" s="39"/>
      <c r="D760" s="39"/>
      <c r="E760" s="39"/>
      <c r="F760" s="39"/>
      <c r="G760" s="39"/>
      <c r="H760" s="39"/>
    </row>
    <row r="761" spans="2:8" s="40" customFormat="1" ht="15.75" customHeight="1" x14ac:dyDescent="0.25">
      <c r="B761" s="39"/>
      <c r="C761" s="39"/>
      <c r="D761" s="39"/>
      <c r="E761" s="39"/>
      <c r="F761" s="39"/>
      <c r="G761" s="39"/>
      <c r="H761" s="39"/>
    </row>
    <row r="762" spans="2:8" s="40" customFormat="1" ht="15.75" customHeight="1" x14ac:dyDescent="0.25">
      <c r="B762" s="39"/>
      <c r="C762" s="39"/>
      <c r="D762" s="39"/>
      <c r="E762" s="39"/>
      <c r="F762" s="39"/>
      <c r="G762" s="39"/>
      <c r="H762" s="39"/>
    </row>
    <row r="763" spans="2:8" s="40" customFormat="1" ht="15.75" customHeight="1" x14ac:dyDescent="0.25">
      <c r="B763" s="39"/>
      <c r="C763" s="39"/>
      <c r="D763" s="39"/>
      <c r="E763" s="39"/>
      <c r="F763" s="39"/>
      <c r="G763" s="39"/>
      <c r="H763" s="39"/>
    </row>
    <row r="764" spans="2:8" s="40" customFormat="1" ht="15.75" customHeight="1" x14ac:dyDescent="0.25">
      <c r="B764" s="39"/>
      <c r="C764" s="39"/>
      <c r="D764" s="39"/>
      <c r="E764" s="39"/>
      <c r="F764" s="39"/>
      <c r="G764" s="39"/>
      <c r="H764" s="39"/>
    </row>
    <row r="765" spans="2:8" s="40" customFormat="1" ht="15.75" customHeight="1" x14ac:dyDescent="0.25">
      <c r="B765" s="39"/>
      <c r="C765" s="39"/>
      <c r="D765" s="39"/>
      <c r="E765" s="39"/>
      <c r="F765" s="39"/>
      <c r="G765" s="39"/>
      <c r="H765" s="39"/>
    </row>
    <row r="766" spans="2:8" s="40" customFormat="1" ht="15.75" customHeight="1" x14ac:dyDescent="0.25">
      <c r="B766" s="39"/>
      <c r="C766" s="39"/>
      <c r="D766" s="39"/>
      <c r="E766" s="39"/>
      <c r="F766" s="39"/>
      <c r="G766" s="39"/>
      <c r="H766" s="39"/>
    </row>
    <row r="767" spans="2:8" s="40" customFormat="1" ht="15.75" customHeight="1" x14ac:dyDescent="0.25">
      <c r="B767" s="39"/>
      <c r="C767" s="39"/>
      <c r="D767" s="39"/>
      <c r="E767" s="39"/>
      <c r="F767" s="39"/>
      <c r="G767" s="39"/>
      <c r="H767" s="39"/>
    </row>
    <row r="768" spans="2:8" s="40" customFormat="1" ht="15.75" customHeight="1" x14ac:dyDescent="0.25">
      <c r="B768" s="39"/>
      <c r="C768" s="39"/>
      <c r="D768" s="39"/>
      <c r="E768" s="39"/>
      <c r="F768" s="39"/>
      <c r="G768" s="39"/>
      <c r="H768" s="39"/>
    </row>
    <row r="769" spans="2:8" s="40" customFormat="1" ht="15.75" customHeight="1" x14ac:dyDescent="0.25">
      <c r="B769" s="39"/>
      <c r="C769" s="39"/>
      <c r="D769" s="39"/>
      <c r="E769" s="39"/>
      <c r="F769" s="39"/>
      <c r="G769" s="39"/>
      <c r="H769" s="39"/>
    </row>
    <row r="770" spans="2:8" s="40" customFormat="1" ht="15.75" customHeight="1" x14ac:dyDescent="0.25">
      <c r="B770" s="39"/>
      <c r="C770" s="39"/>
      <c r="D770" s="39"/>
      <c r="E770" s="39"/>
      <c r="F770" s="39"/>
      <c r="G770" s="39"/>
      <c r="H770" s="39"/>
    </row>
    <row r="771" spans="2:8" s="40" customFormat="1" ht="15.75" customHeight="1" x14ac:dyDescent="0.25">
      <c r="B771" s="39"/>
      <c r="C771" s="39"/>
      <c r="D771" s="39"/>
      <c r="E771" s="39"/>
      <c r="F771" s="39"/>
      <c r="G771" s="39"/>
      <c r="H771" s="39"/>
    </row>
    <row r="772" spans="2:8" s="40" customFormat="1" ht="15.75" customHeight="1" x14ac:dyDescent="0.25">
      <c r="B772" s="39"/>
      <c r="C772" s="39"/>
      <c r="D772" s="39"/>
      <c r="E772" s="39"/>
      <c r="F772" s="39"/>
      <c r="G772" s="39"/>
      <c r="H772" s="39"/>
    </row>
    <row r="773" spans="2:8" s="40" customFormat="1" ht="15.75" customHeight="1" x14ac:dyDescent="0.25">
      <c r="B773" s="39"/>
      <c r="C773" s="39"/>
      <c r="D773" s="39"/>
      <c r="E773" s="39"/>
      <c r="F773" s="39"/>
      <c r="G773" s="39"/>
      <c r="H773" s="39"/>
    </row>
    <row r="774" spans="2:8" s="40" customFormat="1" ht="15.75" customHeight="1" x14ac:dyDescent="0.25">
      <c r="B774" s="39"/>
      <c r="C774" s="39"/>
      <c r="D774" s="39"/>
      <c r="E774" s="39"/>
      <c r="F774" s="39"/>
      <c r="G774" s="39"/>
      <c r="H774" s="39"/>
    </row>
    <row r="775" spans="2:8" s="40" customFormat="1" ht="15.75" customHeight="1" x14ac:dyDescent="0.25">
      <c r="B775" s="39"/>
      <c r="C775" s="39"/>
      <c r="D775" s="39"/>
      <c r="E775" s="39"/>
      <c r="F775" s="39"/>
      <c r="G775" s="39"/>
      <c r="H775" s="39"/>
    </row>
    <row r="776" spans="2:8" s="40" customFormat="1" ht="15.75" customHeight="1" x14ac:dyDescent="0.25">
      <c r="B776" s="39"/>
      <c r="C776" s="39"/>
      <c r="D776" s="39"/>
      <c r="E776" s="39"/>
      <c r="F776" s="39"/>
      <c r="G776" s="39"/>
      <c r="H776" s="39"/>
    </row>
    <row r="777" spans="2:8" s="40" customFormat="1" ht="15.75" customHeight="1" x14ac:dyDescent="0.25">
      <c r="B777" s="39"/>
      <c r="C777" s="39"/>
      <c r="D777" s="39"/>
      <c r="E777" s="39"/>
      <c r="F777" s="39"/>
      <c r="G777" s="39"/>
      <c r="H777" s="39"/>
    </row>
    <row r="778" spans="2:8" s="40" customFormat="1" ht="15.75" customHeight="1" x14ac:dyDescent="0.25">
      <c r="B778" s="39"/>
      <c r="C778" s="39"/>
      <c r="D778" s="39"/>
      <c r="E778" s="39"/>
      <c r="F778" s="39"/>
      <c r="G778" s="39"/>
      <c r="H778" s="39"/>
    </row>
    <row r="779" spans="2:8" s="40" customFormat="1" ht="15.75" customHeight="1" x14ac:dyDescent="0.25">
      <c r="B779" s="39"/>
      <c r="C779" s="39"/>
      <c r="D779" s="39"/>
      <c r="E779" s="39"/>
      <c r="F779" s="39"/>
      <c r="G779" s="39"/>
      <c r="H779" s="39"/>
    </row>
    <row r="780" spans="2:8" s="40" customFormat="1" ht="15.75" customHeight="1" x14ac:dyDescent="0.25">
      <c r="B780" s="39"/>
      <c r="C780" s="39"/>
      <c r="D780" s="39"/>
      <c r="E780" s="39"/>
      <c r="F780" s="39"/>
      <c r="G780" s="39"/>
      <c r="H780" s="39"/>
    </row>
    <row r="781" spans="2:8" s="40" customFormat="1" ht="15.75" customHeight="1" x14ac:dyDescent="0.25">
      <c r="B781" s="39"/>
      <c r="C781" s="39"/>
      <c r="D781" s="39"/>
      <c r="E781" s="39"/>
      <c r="F781" s="39"/>
      <c r="G781" s="39"/>
      <c r="H781" s="39"/>
    </row>
    <row r="782" spans="2:8" s="40" customFormat="1" ht="15.75" customHeight="1" x14ac:dyDescent="0.25">
      <c r="B782" s="39"/>
      <c r="C782" s="39"/>
      <c r="D782" s="39"/>
      <c r="E782" s="39"/>
      <c r="F782" s="39"/>
      <c r="G782" s="39"/>
      <c r="H782" s="39"/>
    </row>
    <row r="783" spans="2:8" s="40" customFormat="1" ht="15.75" customHeight="1" x14ac:dyDescent="0.25">
      <c r="B783" s="39"/>
      <c r="C783" s="39"/>
      <c r="D783" s="39"/>
      <c r="E783" s="39"/>
      <c r="F783" s="39"/>
      <c r="G783" s="39"/>
      <c r="H783" s="39"/>
    </row>
    <row r="784" spans="2:8" s="40" customFormat="1" ht="15.75" customHeight="1" x14ac:dyDescent="0.25">
      <c r="B784" s="39"/>
      <c r="C784" s="39"/>
      <c r="D784" s="39"/>
      <c r="E784" s="39"/>
      <c r="F784" s="39"/>
      <c r="G784" s="39"/>
      <c r="H784" s="39"/>
    </row>
    <row r="785" spans="2:8" s="40" customFormat="1" ht="15.75" customHeight="1" x14ac:dyDescent="0.25">
      <c r="B785" s="39"/>
      <c r="C785" s="39"/>
      <c r="D785" s="39"/>
      <c r="E785" s="39"/>
      <c r="F785" s="39"/>
      <c r="G785" s="39"/>
      <c r="H785" s="39"/>
    </row>
    <row r="786" spans="2:8" s="40" customFormat="1" ht="15.75" customHeight="1" x14ac:dyDescent="0.25">
      <c r="B786" s="39"/>
      <c r="C786" s="39"/>
      <c r="D786" s="39"/>
      <c r="E786" s="39"/>
      <c r="F786" s="39"/>
      <c r="G786" s="39"/>
      <c r="H786" s="39"/>
    </row>
    <row r="787" spans="2:8" s="40" customFormat="1" ht="15.75" customHeight="1" x14ac:dyDescent="0.25">
      <c r="B787" s="39"/>
      <c r="C787" s="39"/>
      <c r="D787" s="39"/>
      <c r="E787" s="39"/>
      <c r="F787" s="39"/>
      <c r="G787" s="39"/>
      <c r="H787" s="39"/>
    </row>
    <row r="788" spans="2:8" s="40" customFormat="1" ht="15.75" customHeight="1" x14ac:dyDescent="0.25">
      <c r="B788" s="39"/>
      <c r="C788" s="39"/>
      <c r="D788" s="39"/>
      <c r="E788" s="39"/>
      <c r="F788" s="39"/>
      <c r="G788" s="39"/>
      <c r="H788" s="39"/>
    </row>
    <row r="789" spans="2:8" s="40" customFormat="1" ht="15.75" customHeight="1" x14ac:dyDescent="0.25">
      <c r="B789" s="39"/>
      <c r="C789" s="39"/>
      <c r="D789" s="39"/>
      <c r="E789" s="39"/>
      <c r="F789" s="39"/>
      <c r="G789" s="39"/>
      <c r="H789" s="39"/>
    </row>
    <row r="790" spans="2:8" s="40" customFormat="1" ht="15.75" customHeight="1" x14ac:dyDescent="0.25">
      <c r="B790" s="39"/>
      <c r="C790" s="39"/>
      <c r="D790" s="39"/>
      <c r="E790" s="39"/>
      <c r="F790" s="39"/>
      <c r="G790" s="39"/>
      <c r="H790" s="39"/>
    </row>
    <row r="791" spans="2:8" s="40" customFormat="1" ht="15.75" customHeight="1" x14ac:dyDescent="0.25">
      <c r="B791" s="39"/>
      <c r="C791" s="39"/>
      <c r="D791" s="39"/>
      <c r="E791" s="39"/>
      <c r="F791" s="39"/>
      <c r="G791" s="39"/>
      <c r="H791" s="39"/>
    </row>
    <row r="792" spans="2:8" s="40" customFormat="1" ht="15.75" customHeight="1" x14ac:dyDescent="0.25">
      <c r="B792" s="39"/>
      <c r="C792" s="39"/>
      <c r="D792" s="39"/>
      <c r="E792" s="39"/>
      <c r="F792" s="39"/>
      <c r="G792" s="39"/>
      <c r="H792" s="39"/>
    </row>
    <row r="793" spans="2:8" s="40" customFormat="1" ht="15.75" customHeight="1" x14ac:dyDescent="0.25">
      <c r="B793" s="39"/>
      <c r="C793" s="39"/>
      <c r="D793" s="39"/>
      <c r="E793" s="39"/>
      <c r="F793" s="39"/>
      <c r="G793" s="39"/>
      <c r="H793" s="39"/>
    </row>
    <row r="794" spans="2:8" s="40" customFormat="1" ht="15.75" customHeight="1" x14ac:dyDescent="0.25">
      <c r="B794" s="39"/>
      <c r="C794" s="39"/>
      <c r="D794" s="39"/>
      <c r="E794" s="39"/>
      <c r="F794" s="39"/>
      <c r="G794" s="39"/>
      <c r="H794" s="39"/>
    </row>
    <row r="795" spans="2:8" s="40" customFormat="1" ht="15.75" customHeight="1" x14ac:dyDescent="0.25">
      <c r="B795" s="39"/>
      <c r="C795" s="39"/>
      <c r="D795" s="39"/>
      <c r="E795" s="39"/>
      <c r="F795" s="39"/>
      <c r="G795" s="39"/>
      <c r="H795" s="39"/>
    </row>
    <row r="796" spans="2:8" s="40" customFormat="1" ht="15.75" customHeight="1" x14ac:dyDescent="0.25">
      <c r="B796" s="39"/>
      <c r="C796" s="39"/>
      <c r="D796" s="39"/>
      <c r="E796" s="39"/>
      <c r="F796" s="39"/>
      <c r="G796" s="39"/>
      <c r="H796" s="39"/>
    </row>
    <row r="797" spans="2:8" s="40" customFormat="1" ht="15.75" customHeight="1" x14ac:dyDescent="0.25">
      <c r="B797" s="39"/>
      <c r="C797" s="39"/>
      <c r="D797" s="39"/>
      <c r="E797" s="39"/>
      <c r="F797" s="39"/>
      <c r="G797" s="39"/>
      <c r="H797" s="39"/>
    </row>
    <row r="798" spans="2:8" s="40" customFormat="1" ht="15.75" customHeight="1" x14ac:dyDescent="0.25">
      <c r="B798" s="39"/>
      <c r="C798" s="39"/>
      <c r="D798" s="39"/>
      <c r="E798" s="39"/>
      <c r="F798" s="39"/>
      <c r="G798" s="39"/>
      <c r="H798" s="39"/>
    </row>
    <row r="799" spans="2:8" s="40" customFormat="1" ht="15.75" customHeight="1" x14ac:dyDescent="0.25">
      <c r="B799" s="39"/>
      <c r="C799" s="39"/>
      <c r="D799" s="39"/>
      <c r="E799" s="39"/>
      <c r="F799" s="39"/>
      <c r="G799" s="39"/>
      <c r="H799" s="39"/>
    </row>
    <row r="800" spans="2:8" s="40" customFormat="1" ht="15.75" customHeight="1" x14ac:dyDescent="0.25">
      <c r="B800" s="39"/>
      <c r="C800" s="39"/>
      <c r="D800" s="39"/>
      <c r="E800" s="39"/>
      <c r="F800" s="39"/>
      <c r="G800" s="39"/>
      <c r="H800" s="39"/>
    </row>
    <row r="801" spans="2:8" s="40" customFormat="1" ht="15.75" customHeight="1" x14ac:dyDescent="0.25">
      <c r="B801" s="39"/>
      <c r="C801" s="39"/>
      <c r="D801" s="39"/>
      <c r="E801" s="39"/>
      <c r="F801" s="39"/>
      <c r="G801" s="39"/>
      <c r="H801" s="39"/>
    </row>
    <row r="802" spans="2:8" s="40" customFormat="1" ht="15.75" customHeight="1" x14ac:dyDescent="0.25">
      <c r="B802" s="39"/>
      <c r="C802" s="39"/>
      <c r="D802" s="39"/>
      <c r="E802" s="39"/>
      <c r="F802" s="39"/>
      <c r="G802" s="39"/>
      <c r="H802" s="39"/>
    </row>
    <row r="803" spans="2:8" s="40" customFormat="1" ht="15.75" customHeight="1" x14ac:dyDescent="0.25">
      <c r="B803" s="39"/>
      <c r="C803" s="39"/>
      <c r="D803" s="39"/>
      <c r="E803" s="39"/>
      <c r="F803" s="39"/>
      <c r="G803" s="39"/>
      <c r="H803" s="39"/>
    </row>
    <row r="804" spans="2:8" s="40" customFormat="1" ht="15.75" customHeight="1" x14ac:dyDescent="0.25">
      <c r="B804" s="39"/>
      <c r="C804" s="39"/>
      <c r="D804" s="39"/>
      <c r="E804" s="39"/>
      <c r="F804" s="39"/>
      <c r="G804" s="39"/>
      <c r="H804" s="39"/>
    </row>
    <row r="805" spans="2:8" s="40" customFormat="1" ht="15.75" customHeight="1" x14ac:dyDescent="0.25">
      <c r="B805" s="39"/>
      <c r="C805" s="39"/>
      <c r="D805" s="39"/>
      <c r="E805" s="39"/>
      <c r="F805" s="39"/>
      <c r="G805" s="39"/>
      <c r="H805" s="39"/>
    </row>
    <row r="806" spans="2:8" s="40" customFormat="1" ht="15.75" customHeight="1" x14ac:dyDescent="0.25">
      <c r="B806" s="39"/>
      <c r="C806" s="39"/>
      <c r="D806" s="39"/>
      <c r="E806" s="39"/>
      <c r="F806" s="39"/>
      <c r="G806" s="39"/>
      <c r="H806" s="39"/>
    </row>
    <row r="807" spans="2:8" s="40" customFormat="1" ht="15.75" customHeight="1" x14ac:dyDescent="0.25">
      <c r="B807" s="39"/>
      <c r="C807" s="39"/>
      <c r="D807" s="39"/>
      <c r="E807" s="39"/>
      <c r="F807" s="39"/>
      <c r="G807" s="39"/>
      <c r="H807" s="39"/>
    </row>
    <row r="808" spans="2:8" s="40" customFormat="1" ht="15.75" customHeight="1" x14ac:dyDescent="0.25">
      <c r="B808" s="39"/>
      <c r="C808" s="39"/>
      <c r="D808" s="39"/>
      <c r="E808" s="39"/>
      <c r="F808" s="39"/>
      <c r="G808" s="39"/>
      <c r="H808" s="39"/>
    </row>
    <row r="809" spans="2:8" s="40" customFormat="1" ht="15.75" customHeight="1" x14ac:dyDescent="0.25">
      <c r="B809" s="39"/>
      <c r="C809" s="39"/>
      <c r="D809" s="39"/>
      <c r="E809" s="39"/>
      <c r="F809" s="39"/>
      <c r="G809" s="39"/>
      <c r="H809" s="39"/>
    </row>
    <row r="810" spans="2:8" s="40" customFormat="1" ht="15.75" customHeight="1" x14ac:dyDescent="0.25">
      <c r="B810" s="39"/>
      <c r="C810" s="39"/>
      <c r="D810" s="39"/>
      <c r="E810" s="39"/>
      <c r="F810" s="39"/>
      <c r="G810" s="39"/>
      <c r="H810" s="39"/>
    </row>
    <row r="811" spans="2:8" s="40" customFormat="1" ht="15.75" customHeight="1" x14ac:dyDescent="0.25">
      <c r="B811" s="39"/>
      <c r="C811" s="39"/>
      <c r="D811" s="39"/>
      <c r="E811" s="39"/>
      <c r="F811" s="39"/>
      <c r="G811" s="39"/>
      <c r="H811" s="39"/>
    </row>
    <row r="812" spans="2:8" s="40" customFormat="1" ht="15.75" customHeight="1" x14ac:dyDescent="0.25">
      <c r="B812" s="39"/>
      <c r="C812" s="39"/>
      <c r="D812" s="39"/>
      <c r="E812" s="39"/>
      <c r="F812" s="39"/>
      <c r="G812" s="39"/>
      <c r="H812" s="39"/>
    </row>
    <row r="813" spans="2:8" s="40" customFormat="1" ht="15.75" customHeight="1" x14ac:dyDescent="0.25">
      <c r="B813" s="39"/>
      <c r="C813" s="39"/>
      <c r="D813" s="39"/>
      <c r="E813" s="39"/>
      <c r="F813" s="39"/>
      <c r="G813" s="39"/>
      <c r="H813" s="39"/>
    </row>
    <row r="814" spans="2:8" s="40" customFormat="1" ht="15.75" customHeight="1" x14ac:dyDescent="0.25">
      <c r="B814" s="39"/>
      <c r="C814" s="39"/>
      <c r="D814" s="39"/>
      <c r="E814" s="39"/>
      <c r="F814" s="39"/>
      <c r="G814" s="39"/>
      <c r="H814" s="39"/>
    </row>
    <row r="815" spans="2:8" s="40" customFormat="1" ht="15.75" customHeight="1" x14ac:dyDescent="0.25">
      <c r="B815" s="39"/>
      <c r="C815" s="39"/>
      <c r="D815" s="39"/>
      <c r="E815" s="39"/>
      <c r="F815" s="39"/>
      <c r="G815" s="39"/>
      <c r="H815" s="39"/>
    </row>
    <row r="816" spans="2:8" s="40" customFormat="1" ht="15.75" customHeight="1" x14ac:dyDescent="0.25">
      <c r="B816" s="39"/>
      <c r="C816" s="39"/>
      <c r="D816" s="39"/>
      <c r="E816" s="39"/>
      <c r="F816" s="39"/>
      <c r="G816" s="39"/>
      <c r="H816" s="39"/>
    </row>
    <row r="817" spans="2:8" s="40" customFormat="1" ht="15.75" customHeight="1" x14ac:dyDescent="0.25">
      <c r="B817" s="39"/>
      <c r="C817" s="39"/>
      <c r="D817" s="39"/>
      <c r="E817" s="39"/>
      <c r="F817" s="39"/>
      <c r="G817" s="39"/>
      <c r="H817" s="39"/>
    </row>
    <row r="818" spans="2:8" s="40" customFormat="1" ht="15.75" customHeight="1" x14ac:dyDescent="0.25">
      <c r="B818" s="39"/>
      <c r="C818" s="39"/>
      <c r="D818" s="39"/>
      <c r="E818" s="39"/>
      <c r="F818" s="39"/>
      <c r="G818" s="39"/>
      <c r="H818" s="39"/>
    </row>
    <row r="819" spans="2:8" s="40" customFormat="1" ht="15.75" customHeight="1" x14ac:dyDescent="0.25">
      <c r="B819" s="39"/>
      <c r="C819" s="39"/>
      <c r="D819" s="39"/>
      <c r="E819" s="39"/>
      <c r="F819" s="39"/>
      <c r="G819" s="39"/>
      <c r="H819" s="39"/>
    </row>
    <row r="820" spans="2:8" s="40" customFormat="1" ht="15.75" customHeight="1" x14ac:dyDescent="0.25">
      <c r="B820" s="39"/>
      <c r="C820" s="39"/>
      <c r="D820" s="39"/>
      <c r="E820" s="39"/>
      <c r="F820" s="39"/>
      <c r="G820" s="39"/>
      <c r="H820" s="39"/>
    </row>
    <row r="821" spans="2:8" s="40" customFormat="1" ht="15.75" customHeight="1" x14ac:dyDescent="0.25">
      <c r="B821" s="39"/>
      <c r="C821" s="39"/>
      <c r="D821" s="39"/>
      <c r="E821" s="39"/>
      <c r="F821" s="39"/>
      <c r="G821" s="39"/>
      <c r="H821" s="39"/>
    </row>
    <row r="822" spans="2:8" s="40" customFormat="1" ht="15.75" customHeight="1" x14ac:dyDescent="0.25">
      <c r="B822" s="39"/>
      <c r="C822" s="39"/>
      <c r="D822" s="39"/>
      <c r="E822" s="39"/>
      <c r="F822" s="39"/>
      <c r="G822" s="39"/>
      <c r="H822" s="39"/>
    </row>
    <row r="823" spans="2:8" s="40" customFormat="1" ht="15.75" customHeight="1" x14ac:dyDescent="0.25">
      <c r="B823" s="39"/>
      <c r="C823" s="39"/>
      <c r="D823" s="39"/>
      <c r="E823" s="39"/>
      <c r="F823" s="39"/>
      <c r="G823" s="39"/>
      <c r="H823" s="39"/>
    </row>
    <row r="824" spans="2:8" s="40" customFormat="1" ht="15.75" customHeight="1" x14ac:dyDescent="0.25">
      <c r="B824" s="39"/>
      <c r="C824" s="39"/>
      <c r="D824" s="39"/>
      <c r="E824" s="39"/>
      <c r="F824" s="39"/>
      <c r="G824" s="39"/>
      <c r="H824" s="39"/>
    </row>
    <row r="825" spans="2:8" s="40" customFormat="1" ht="15.75" customHeight="1" x14ac:dyDescent="0.25">
      <c r="B825" s="39"/>
      <c r="C825" s="39"/>
      <c r="D825" s="39"/>
      <c r="E825" s="39"/>
      <c r="F825" s="39"/>
      <c r="G825" s="39"/>
      <c r="H825" s="39"/>
    </row>
    <row r="826" spans="2:8" s="40" customFormat="1" ht="15.75" customHeight="1" x14ac:dyDescent="0.25">
      <c r="B826" s="39"/>
      <c r="C826" s="39"/>
      <c r="D826" s="39"/>
      <c r="E826" s="39"/>
      <c r="F826" s="39"/>
      <c r="G826" s="39"/>
      <c r="H826" s="39"/>
    </row>
    <row r="827" spans="2:8" s="40" customFormat="1" ht="15.75" customHeight="1" x14ac:dyDescent="0.25">
      <c r="B827" s="39"/>
      <c r="C827" s="39"/>
      <c r="D827" s="39"/>
      <c r="E827" s="39"/>
      <c r="F827" s="39"/>
      <c r="G827" s="39"/>
      <c r="H827" s="39"/>
    </row>
    <row r="828" spans="2:8" s="40" customFormat="1" ht="15.75" customHeight="1" x14ac:dyDescent="0.25">
      <c r="B828" s="39"/>
      <c r="C828" s="39"/>
      <c r="D828" s="39"/>
      <c r="E828" s="39"/>
      <c r="F828" s="39"/>
      <c r="G828" s="39"/>
      <c r="H828" s="39"/>
    </row>
    <row r="829" spans="2:8" s="40" customFormat="1" ht="15.75" customHeight="1" x14ac:dyDescent="0.25">
      <c r="B829" s="39"/>
      <c r="C829" s="39"/>
      <c r="D829" s="39"/>
      <c r="E829" s="39"/>
      <c r="F829" s="39"/>
      <c r="G829" s="39"/>
      <c r="H829" s="39"/>
    </row>
    <row r="830" spans="2:8" s="40" customFormat="1" ht="15.75" customHeight="1" x14ac:dyDescent="0.25">
      <c r="B830" s="39"/>
      <c r="C830" s="39"/>
      <c r="D830" s="39"/>
      <c r="E830" s="39"/>
      <c r="F830" s="39"/>
      <c r="G830" s="39"/>
      <c r="H830" s="39"/>
    </row>
    <row r="831" spans="2:8" s="40" customFormat="1" ht="15.75" customHeight="1" x14ac:dyDescent="0.25">
      <c r="B831" s="39"/>
      <c r="C831" s="39"/>
      <c r="D831" s="39"/>
      <c r="E831" s="39"/>
      <c r="F831" s="39"/>
      <c r="G831" s="39"/>
      <c r="H831" s="39"/>
    </row>
    <row r="832" spans="2:8" s="40" customFormat="1" ht="15.75" customHeight="1" x14ac:dyDescent="0.25">
      <c r="B832" s="39"/>
      <c r="C832" s="39"/>
      <c r="D832" s="39"/>
      <c r="E832" s="39"/>
      <c r="F832" s="39"/>
      <c r="G832" s="39"/>
      <c r="H832" s="39"/>
    </row>
    <row r="833" spans="2:8" s="40" customFormat="1" ht="15.75" customHeight="1" x14ac:dyDescent="0.25">
      <c r="B833" s="39"/>
      <c r="C833" s="39"/>
      <c r="D833" s="39"/>
      <c r="E833" s="39"/>
      <c r="F833" s="39"/>
      <c r="G833" s="39"/>
      <c r="H833" s="39"/>
    </row>
    <row r="834" spans="2:8" s="40" customFormat="1" ht="15.75" customHeight="1" x14ac:dyDescent="0.25">
      <c r="B834" s="39"/>
      <c r="C834" s="39"/>
      <c r="D834" s="39"/>
      <c r="E834" s="39"/>
      <c r="F834" s="39"/>
      <c r="G834" s="39"/>
      <c r="H834" s="39"/>
    </row>
    <row r="835" spans="2:8" s="40" customFormat="1" ht="15.75" customHeight="1" x14ac:dyDescent="0.25">
      <c r="B835" s="39"/>
      <c r="C835" s="39"/>
      <c r="D835" s="39"/>
      <c r="E835" s="39"/>
      <c r="F835" s="39"/>
      <c r="G835" s="39"/>
      <c r="H835" s="39"/>
    </row>
    <row r="836" spans="2:8" s="40" customFormat="1" ht="15.75" customHeight="1" x14ac:dyDescent="0.25">
      <c r="B836" s="39"/>
      <c r="C836" s="39"/>
      <c r="D836" s="39"/>
      <c r="E836" s="39"/>
      <c r="F836" s="39"/>
      <c r="G836" s="39"/>
      <c r="H836" s="39"/>
    </row>
    <row r="837" spans="2:8" s="40" customFormat="1" ht="15.75" customHeight="1" x14ac:dyDescent="0.25">
      <c r="B837" s="39"/>
      <c r="C837" s="39"/>
      <c r="D837" s="39"/>
      <c r="E837" s="39"/>
      <c r="F837" s="39"/>
      <c r="G837" s="39"/>
      <c r="H837" s="39"/>
    </row>
    <row r="838" spans="2:8" s="40" customFormat="1" ht="15.75" customHeight="1" x14ac:dyDescent="0.25">
      <c r="B838" s="39"/>
      <c r="C838" s="39"/>
      <c r="D838" s="39"/>
      <c r="E838" s="39"/>
      <c r="F838" s="39"/>
      <c r="G838" s="39"/>
      <c r="H838" s="39"/>
    </row>
    <row r="839" spans="2:8" s="40" customFormat="1" ht="15.75" customHeight="1" x14ac:dyDescent="0.25">
      <c r="B839" s="39"/>
      <c r="C839" s="39"/>
      <c r="D839" s="39"/>
      <c r="E839" s="39"/>
      <c r="F839" s="39"/>
      <c r="G839" s="39"/>
      <c r="H839" s="39"/>
    </row>
    <row r="840" spans="2:8" s="40" customFormat="1" ht="15.75" customHeight="1" x14ac:dyDescent="0.25">
      <c r="B840" s="39"/>
      <c r="C840" s="39"/>
      <c r="D840" s="39"/>
      <c r="E840" s="39"/>
      <c r="F840" s="39"/>
      <c r="G840" s="39"/>
      <c r="H840" s="39"/>
    </row>
    <row r="841" spans="2:8" s="40" customFormat="1" ht="15.75" customHeight="1" x14ac:dyDescent="0.25">
      <c r="B841" s="39"/>
      <c r="C841" s="39"/>
      <c r="D841" s="39"/>
      <c r="E841" s="39"/>
      <c r="F841" s="39"/>
      <c r="G841" s="39"/>
      <c r="H841" s="39"/>
    </row>
    <row r="842" spans="2:8" s="40" customFormat="1" ht="15.75" customHeight="1" x14ac:dyDescent="0.25">
      <c r="B842" s="39"/>
      <c r="C842" s="39"/>
      <c r="D842" s="39"/>
      <c r="E842" s="39"/>
      <c r="F842" s="39"/>
      <c r="G842" s="39"/>
      <c r="H842" s="39"/>
    </row>
    <row r="843" spans="2:8" s="40" customFormat="1" ht="15.75" customHeight="1" x14ac:dyDescent="0.25">
      <c r="B843" s="39"/>
      <c r="C843" s="39"/>
      <c r="D843" s="39"/>
      <c r="E843" s="39"/>
      <c r="F843" s="39"/>
      <c r="G843" s="39"/>
      <c r="H843" s="39"/>
    </row>
    <row r="844" spans="2:8" s="40" customFormat="1" ht="15.75" customHeight="1" x14ac:dyDescent="0.25">
      <c r="B844" s="39"/>
      <c r="C844" s="39"/>
      <c r="D844" s="39"/>
      <c r="E844" s="39"/>
      <c r="F844" s="39"/>
      <c r="G844" s="39"/>
      <c r="H844" s="39"/>
    </row>
    <row r="845" spans="2:8" s="40" customFormat="1" ht="15.75" customHeight="1" x14ac:dyDescent="0.25">
      <c r="B845" s="39"/>
      <c r="C845" s="39"/>
      <c r="D845" s="39"/>
      <c r="E845" s="39"/>
      <c r="F845" s="39"/>
      <c r="G845" s="39"/>
      <c r="H845" s="39"/>
    </row>
    <row r="846" spans="2:8" s="40" customFormat="1" ht="15.75" customHeight="1" x14ac:dyDescent="0.25">
      <c r="B846" s="39"/>
      <c r="C846" s="39"/>
      <c r="D846" s="39"/>
      <c r="E846" s="39"/>
      <c r="F846" s="39"/>
      <c r="G846" s="39"/>
      <c r="H846" s="39"/>
    </row>
    <row r="847" spans="2:8" s="40" customFormat="1" ht="15.75" customHeight="1" x14ac:dyDescent="0.25">
      <c r="B847" s="39"/>
      <c r="C847" s="39"/>
      <c r="D847" s="39"/>
      <c r="E847" s="39"/>
      <c r="F847" s="39"/>
      <c r="G847" s="39"/>
      <c r="H847" s="39"/>
    </row>
    <row r="848" spans="2:8" s="40" customFormat="1" ht="15.75" customHeight="1" x14ac:dyDescent="0.25">
      <c r="B848" s="39"/>
      <c r="C848" s="39"/>
      <c r="D848" s="39"/>
      <c r="E848" s="39"/>
      <c r="F848" s="39"/>
      <c r="G848" s="39"/>
      <c r="H848" s="39"/>
    </row>
    <row r="849" spans="2:8" s="40" customFormat="1" ht="15.75" customHeight="1" x14ac:dyDescent="0.25">
      <c r="B849" s="39"/>
      <c r="C849" s="39"/>
      <c r="D849" s="39"/>
      <c r="E849" s="39"/>
      <c r="F849" s="39"/>
      <c r="G849" s="39"/>
      <c r="H849" s="39"/>
    </row>
    <row r="850" spans="2:8" s="40" customFormat="1" ht="15.75" customHeight="1" x14ac:dyDescent="0.25">
      <c r="B850" s="39"/>
      <c r="C850" s="39"/>
      <c r="D850" s="39"/>
      <c r="E850" s="39"/>
      <c r="F850" s="39"/>
      <c r="G850" s="39"/>
      <c r="H850" s="39"/>
    </row>
    <row r="851" spans="2:8" s="40" customFormat="1" ht="15.75" customHeight="1" x14ac:dyDescent="0.25">
      <c r="B851" s="39"/>
      <c r="C851" s="39"/>
      <c r="D851" s="39"/>
      <c r="E851" s="39"/>
      <c r="F851" s="39"/>
      <c r="G851" s="39"/>
      <c r="H851" s="39"/>
    </row>
    <row r="852" spans="2:8" s="40" customFormat="1" ht="15.75" customHeight="1" x14ac:dyDescent="0.25">
      <c r="B852" s="39"/>
      <c r="C852" s="39"/>
      <c r="D852" s="39"/>
      <c r="E852" s="39"/>
      <c r="F852" s="39"/>
      <c r="G852" s="39"/>
      <c r="H852" s="39"/>
    </row>
    <row r="853" spans="2:8" s="40" customFormat="1" ht="15.75" customHeight="1" x14ac:dyDescent="0.25">
      <c r="B853" s="39"/>
      <c r="C853" s="39"/>
      <c r="D853" s="39"/>
      <c r="E853" s="39"/>
      <c r="F853" s="39"/>
      <c r="G853" s="39"/>
      <c r="H853" s="39"/>
    </row>
    <row r="854" spans="2:8" s="40" customFormat="1" ht="15.75" customHeight="1" x14ac:dyDescent="0.25">
      <c r="B854" s="39"/>
      <c r="C854" s="39"/>
      <c r="D854" s="39"/>
      <c r="E854" s="39"/>
      <c r="F854" s="39"/>
      <c r="G854" s="39"/>
      <c r="H854" s="39"/>
    </row>
    <row r="855" spans="2:8" s="40" customFormat="1" ht="15.75" customHeight="1" x14ac:dyDescent="0.25">
      <c r="B855" s="39"/>
      <c r="C855" s="39"/>
      <c r="D855" s="39"/>
      <c r="E855" s="39"/>
      <c r="F855" s="39"/>
      <c r="G855" s="39"/>
      <c r="H855" s="39"/>
    </row>
    <row r="856" spans="2:8" s="40" customFormat="1" ht="15.75" customHeight="1" x14ac:dyDescent="0.25">
      <c r="B856" s="39"/>
      <c r="C856" s="39"/>
      <c r="D856" s="39"/>
      <c r="E856" s="39"/>
      <c r="F856" s="39"/>
      <c r="G856" s="39"/>
      <c r="H856" s="39"/>
    </row>
    <row r="857" spans="2:8" s="40" customFormat="1" ht="15.75" customHeight="1" x14ac:dyDescent="0.25">
      <c r="B857" s="39"/>
      <c r="C857" s="39"/>
      <c r="D857" s="39"/>
      <c r="E857" s="39"/>
      <c r="F857" s="39"/>
      <c r="G857" s="39"/>
      <c r="H857" s="39"/>
    </row>
    <row r="858" spans="2:8" s="40" customFormat="1" ht="15.75" customHeight="1" x14ac:dyDescent="0.25">
      <c r="B858" s="39"/>
      <c r="C858" s="39"/>
      <c r="D858" s="39"/>
      <c r="E858" s="39"/>
      <c r="F858" s="39"/>
      <c r="G858" s="39"/>
      <c r="H858" s="39"/>
    </row>
    <row r="859" spans="2:8" s="40" customFormat="1" ht="15.75" customHeight="1" x14ac:dyDescent="0.25">
      <c r="B859" s="39"/>
      <c r="C859" s="39"/>
      <c r="D859" s="39"/>
      <c r="E859" s="39"/>
      <c r="F859" s="39"/>
      <c r="G859" s="39"/>
      <c r="H859" s="39"/>
    </row>
    <row r="860" spans="2:8" s="40" customFormat="1" ht="15.75" customHeight="1" x14ac:dyDescent="0.25">
      <c r="B860" s="39"/>
      <c r="C860" s="39"/>
      <c r="D860" s="39"/>
      <c r="E860" s="39"/>
      <c r="F860" s="39"/>
      <c r="G860" s="39"/>
      <c r="H860" s="39"/>
    </row>
    <row r="861" spans="2:8" s="40" customFormat="1" ht="15.75" customHeight="1" x14ac:dyDescent="0.25">
      <c r="B861" s="39"/>
      <c r="C861" s="39"/>
      <c r="D861" s="39"/>
      <c r="E861" s="39"/>
      <c r="F861" s="39"/>
      <c r="G861" s="39"/>
      <c r="H861" s="39"/>
    </row>
    <row r="862" spans="2:8" s="40" customFormat="1" ht="15.75" customHeight="1" x14ac:dyDescent="0.25">
      <c r="B862" s="39"/>
      <c r="C862" s="39"/>
      <c r="D862" s="39"/>
      <c r="E862" s="39"/>
      <c r="F862" s="39"/>
      <c r="G862" s="39"/>
      <c r="H862" s="39"/>
    </row>
    <row r="863" spans="2:8" s="40" customFormat="1" ht="15.75" customHeight="1" x14ac:dyDescent="0.25">
      <c r="B863" s="39"/>
      <c r="C863" s="39"/>
      <c r="D863" s="39"/>
      <c r="E863" s="39"/>
      <c r="F863" s="39"/>
      <c r="G863" s="39"/>
      <c r="H863" s="39"/>
    </row>
    <row r="864" spans="2:8" s="40" customFormat="1" ht="15.75" customHeight="1" x14ac:dyDescent="0.25">
      <c r="B864" s="39"/>
      <c r="C864" s="39"/>
      <c r="D864" s="39"/>
      <c r="E864" s="39"/>
      <c r="F864" s="39"/>
      <c r="G864" s="39"/>
      <c r="H864" s="39"/>
    </row>
    <row r="865" spans="2:8" s="40" customFormat="1" ht="15.75" customHeight="1" x14ac:dyDescent="0.25">
      <c r="B865" s="39"/>
      <c r="C865" s="39"/>
      <c r="D865" s="39"/>
      <c r="E865" s="39"/>
      <c r="F865" s="39"/>
      <c r="G865" s="39"/>
      <c r="H865" s="39"/>
    </row>
    <row r="866" spans="2:8" s="40" customFormat="1" ht="15.75" customHeight="1" x14ac:dyDescent="0.25">
      <c r="B866" s="39"/>
      <c r="C866" s="39"/>
      <c r="D866" s="39"/>
      <c r="E866" s="39"/>
      <c r="F866" s="39"/>
      <c r="G866" s="39"/>
      <c r="H866" s="39"/>
    </row>
    <row r="867" spans="2:8" s="40" customFormat="1" ht="15.75" customHeight="1" x14ac:dyDescent="0.25">
      <c r="B867" s="39"/>
      <c r="C867" s="39"/>
      <c r="D867" s="39"/>
      <c r="E867" s="39"/>
      <c r="F867" s="39"/>
      <c r="G867" s="39"/>
      <c r="H867" s="39"/>
    </row>
    <row r="868" spans="2:8" s="40" customFormat="1" ht="15.75" customHeight="1" x14ac:dyDescent="0.25">
      <c r="B868" s="39"/>
      <c r="C868" s="39"/>
      <c r="D868" s="39"/>
      <c r="E868" s="39"/>
      <c r="F868" s="39"/>
      <c r="G868" s="39"/>
      <c r="H868" s="39"/>
    </row>
    <row r="869" spans="2:8" s="40" customFormat="1" ht="15.75" customHeight="1" x14ac:dyDescent="0.25">
      <c r="B869" s="39"/>
      <c r="C869" s="39"/>
      <c r="D869" s="39"/>
      <c r="E869" s="39"/>
      <c r="F869" s="39"/>
      <c r="G869" s="39"/>
      <c r="H869" s="39"/>
    </row>
    <row r="870" spans="2:8" s="40" customFormat="1" ht="15.75" customHeight="1" x14ac:dyDescent="0.25">
      <c r="B870" s="39"/>
      <c r="C870" s="39"/>
      <c r="D870" s="39"/>
      <c r="E870" s="39"/>
      <c r="F870" s="39"/>
      <c r="G870" s="39"/>
      <c r="H870" s="39"/>
    </row>
    <row r="871" spans="2:8" s="40" customFormat="1" ht="15.75" customHeight="1" x14ac:dyDescent="0.25">
      <c r="B871" s="39"/>
      <c r="C871" s="39"/>
      <c r="D871" s="39"/>
      <c r="E871" s="39"/>
      <c r="F871" s="39"/>
      <c r="G871" s="39"/>
      <c r="H871" s="39"/>
    </row>
    <row r="872" spans="2:8" s="40" customFormat="1" ht="15.75" customHeight="1" x14ac:dyDescent="0.25">
      <c r="B872" s="39"/>
      <c r="C872" s="39"/>
      <c r="D872" s="39"/>
      <c r="E872" s="39"/>
      <c r="F872" s="39"/>
      <c r="G872" s="39"/>
      <c r="H872" s="39"/>
    </row>
    <row r="873" spans="2:8" s="40" customFormat="1" ht="15.75" customHeight="1" x14ac:dyDescent="0.25">
      <c r="B873" s="39"/>
      <c r="C873" s="39"/>
      <c r="D873" s="39"/>
      <c r="E873" s="39"/>
      <c r="F873" s="39"/>
      <c r="G873" s="39"/>
      <c r="H873" s="39"/>
    </row>
    <row r="874" spans="2:8" s="40" customFormat="1" ht="15.75" customHeight="1" x14ac:dyDescent="0.25">
      <c r="B874" s="39"/>
      <c r="C874" s="39"/>
      <c r="D874" s="39"/>
      <c r="E874" s="39"/>
      <c r="F874" s="39"/>
      <c r="G874" s="39"/>
      <c r="H874" s="39"/>
    </row>
    <row r="875" spans="2:8" s="40" customFormat="1" ht="15.75" customHeight="1" x14ac:dyDescent="0.25">
      <c r="B875" s="39"/>
      <c r="C875" s="39"/>
      <c r="D875" s="39"/>
      <c r="E875" s="39"/>
      <c r="F875" s="39"/>
      <c r="G875" s="39"/>
      <c r="H875" s="39"/>
    </row>
    <row r="876" spans="2:8" s="40" customFormat="1" ht="15.75" customHeight="1" x14ac:dyDescent="0.25">
      <c r="B876" s="39"/>
      <c r="C876" s="39"/>
      <c r="D876" s="39"/>
      <c r="E876" s="39"/>
      <c r="F876" s="39"/>
      <c r="G876" s="39"/>
      <c r="H876" s="39"/>
    </row>
    <row r="877" spans="2:8" s="40" customFormat="1" ht="15.75" customHeight="1" x14ac:dyDescent="0.25">
      <c r="B877" s="39"/>
      <c r="C877" s="39"/>
      <c r="D877" s="39"/>
      <c r="E877" s="39"/>
      <c r="F877" s="39"/>
      <c r="G877" s="39"/>
      <c r="H877" s="39"/>
    </row>
    <row r="878" spans="2:8" s="40" customFormat="1" ht="15.75" customHeight="1" x14ac:dyDescent="0.25">
      <c r="B878" s="39"/>
      <c r="C878" s="39"/>
      <c r="D878" s="39"/>
      <c r="E878" s="39"/>
      <c r="F878" s="39"/>
      <c r="G878" s="39"/>
      <c r="H878" s="39"/>
    </row>
    <row r="879" spans="2:8" s="40" customFormat="1" ht="15.75" customHeight="1" x14ac:dyDescent="0.25">
      <c r="B879" s="39"/>
      <c r="C879" s="39"/>
      <c r="D879" s="39"/>
      <c r="E879" s="39"/>
      <c r="F879" s="39"/>
      <c r="G879" s="39"/>
      <c r="H879" s="39"/>
    </row>
    <row r="880" spans="2:8" s="40" customFormat="1" ht="15.75" customHeight="1" x14ac:dyDescent="0.25">
      <c r="B880" s="39"/>
      <c r="C880" s="39"/>
      <c r="D880" s="39"/>
      <c r="E880" s="39"/>
      <c r="F880" s="39"/>
      <c r="G880" s="39"/>
      <c r="H880" s="39"/>
    </row>
    <row r="881" spans="2:8" s="40" customFormat="1" ht="15.75" customHeight="1" x14ac:dyDescent="0.25">
      <c r="B881" s="39"/>
      <c r="C881" s="39"/>
      <c r="D881" s="39"/>
      <c r="E881" s="39"/>
      <c r="F881" s="39"/>
      <c r="G881" s="39"/>
      <c r="H881" s="39"/>
    </row>
    <row r="882" spans="2:8" s="40" customFormat="1" ht="15.75" customHeight="1" x14ac:dyDescent="0.25">
      <c r="B882" s="39"/>
      <c r="C882" s="39"/>
      <c r="D882" s="39"/>
      <c r="E882" s="39"/>
      <c r="F882" s="39"/>
      <c r="G882" s="39"/>
      <c r="H882" s="39"/>
    </row>
    <row r="883" spans="2:8" s="40" customFormat="1" ht="15.75" customHeight="1" x14ac:dyDescent="0.25">
      <c r="B883" s="39"/>
      <c r="C883" s="39"/>
      <c r="D883" s="39"/>
      <c r="E883" s="39"/>
      <c r="F883" s="39"/>
      <c r="G883" s="39"/>
      <c r="H883" s="39"/>
    </row>
    <row r="884" spans="2:8" s="40" customFormat="1" ht="15.75" customHeight="1" x14ac:dyDescent="0.25">
      <c r="B884" s="39"/>
      <c r="C884" s="39"/>
      <c r="D884" s="39"/>
      <c r="E884" s="39"/>
      <c r="F884" s="39"/>
      <c r="G884" s="39"/>
      <c r="H884" s="39"/>
    </row>
    <row r="885" spans="2:8" s="40" customFormat="1" ht="15.75" customHeight="1" x14ac:dyDescent="0.25">
      <c r="B885" s="39"/>
      <c r="C885" s="39"/>
      <c r="D885" s="39"/>
      <c r="E885" s="39"/>
      <c r="F885" s="39"/>
      <c r="G885" s="39"/>
      <c r="H885" s="39"/>
    </row>
    <row r="886" spans="2:8" s="40" customFormat="1" ht="15.75" customHeight="1" x14ac:dyDescent="0.25">
      <c r="B886" s="39"/>
      <c r="C886" s="39"/>
      <c r="D886" s="39"/>
      <c r="E886" s="39"/>
      <c r="F886" s="39"/>
      <c r="G886" s="39"/>
      <c r="H886" s="39"/>
    </row>
    <row r="887" spans="2:8" s="40" customFormat="1" ht="15.75" customHeight="1" x14ac:dyDescent="0.25">
      <c r="B887" s="39"/>
      <c r="C887" s="39"/>
      <c r="D887" s="39"/>
      <c r="E887" s="39"/>
      <c r="F887" s="39"/>
      <c r="G887" s="39"/>
      <c r="H887" s="39"/>
    </row>
    <row r="888" spans="2:8" s="40" customFormat="1" ht="15.75" customHeight="1" x14ac:dyDescent="0.25">
      <c r="B888" s="39"/>
      <c r="C888" s="39"/>
      <c r="D888" s="39"/>
      <c r="E888" s="39"/>
      <c r="F888" s="39"/>
      <c r="G888" s="39"/>
      <c r="H888" s="39"/>
    </row>
    <row r="889" spans="2:8" s="40" customFormat="1" ht="15.75" customHeight="1" x14ac:dyDescent="0.25">
      <c r="B889" s="39"/>
      <c r="C889" s="39"/>
      <c r="D889" s="39"/>
      <c r="E889" s="39"/>
      <c r="F889" s="39"/>
      <c r="G889" s="39"/>
      <c r="H889" s="39"/>
    </row>
    <row r="890" spans="2:8" s="40" customFormat="1" ht="15.75" customHeight="1" x14ac:dyDescent="0.25">
      <c r="B890" s="39"/>
      <c r="C890" s="39"/>
      <c r="D890" s="39"/>
      <c r="E890" s="39"/>
      <c r="F890" s="39"/>
      <c r="G890" s="39"/>
      <c r="H890" s="39"/>
    </row>
    <row r="891" spans="2:8" s="40" customFormat="1" ht="15.75" customHeight="1" x14ac:dyDescent="0.25">
      <c r="B891" s="39"/>
      <c r="C891" s="39"/>
      <c r="D891" s="39"/>
      <c r="E891" s="39"/>
      <c r="F891" s="39"/>
      <c r="G891" s="39"/>
      <c r="H891" s="39"/>
    </row>
    <row r="892" spans="2:8" s="40" customFormat="1" ht="15.75" customHeight="1" x14ac:dyDescent="0.25">
      <c r="B892" s="39"/>
      <c r="C892" s="39"/>
      <c r="D892" s="39"/>
      <c r="E892" s="39"/>
      <c r="F892" s="39"/>
      <c r="G892" s="39"/>
      <c r="H892" s="39"/>
    </row>
    <row r="893" spans="2:8" s="40" customFormat="1" ht="15.75" customHeight="1" x14ac:dyDescent="0.25">
      <c r="B893" s="39"/>
      <c r="C893" s="39"/>
      <c r="D893" s="39"/>
      <c r="E893" s="39"/>
      <c r="F893" s="39"/>
      <c r="G893" s="39"/>
      <c r="H893" s="39"/>
    </row>
    <row r="894" spans="2:8" s="40" customFormat="1" ht="15.75" customHeight="1" x14ac:dyDescent="0.25">
      <c r="B894" s="39"/>
      <c r="C894" s="39"/>
      <c r="D894" s="39"/>
      <c r="E894" s="39"/>
      <c r="F894" s="39"/>
      <c r="G894" s="39"/>
      <c r="H894" s="39"/>
    </row>
    <row r="895" spans="2:8" s="40" customFormat="1" ht="15.75" customHeight="1" x14ac:dyDescent="0.25">
      <c r="B895" s="39"/>
      <c r="C895" s="39"/>
      <c r="D895" s="39"/>
      <c r="E895" s="39"/>
      <c r="F895" s="39"/>
      <c r="G895" s="39"/>
      <c r="H895" s="39"/>
    </row>
    <row r="896" spans="2:8" s="40" customFormat="1" ht="15.75" customHeight="1" x14ac:dyDescent="0.25">
      <c r="B896" s="39"/>
      <c r="C896" s="39"/>
      <c r="D896" s="39"/>
      <c r="E896" s="39"/>
      <c r="F896" s="39"/>
      <c r="G896" s="39"/>
      <c r="H896" s="39"/>
    </row>
    <row r="897" spans="2:8" s="40" customFormat="1" ht="15.75" customHeight="1" x14ac:dyDescent="0.25">
      <c r="B897" s="39"/>
      <c r="C897" s="39"/>
      <c r="D897" s="39"/>
      <c r="E897" s="39"/>
      <c r="F897" s="39"/>
      <c r="G897" s="39"/>
      <c r="H897" s="39"/>
    </row>
    <row r="898" spans="2:8" s="40" customFormat="1" ht="15.75" customHeight="1" x14ac:dyDescent="0.25">
      <c r="B898" s="39"/>
      <c r="C898" s="39"/>
      <c r="D898" s="39"/>
      <c r="E898" s="39"/>
      <c r="F898" s="39"/>
      <c r="G898" s="39"/>
      <c r="H898" s="39"/>
    </row>
    <row r="899" spans="2:8" s="40" customFormat="1" ht="15.75" customHeight="1" x14ac:dyDescent="0.25">
      <c r="B899" s="39"/>
      <c r="C899" s="39"/>
      <c r="D899" s="39"/>
      <c r="E899" s="39"/>
      <c r="F899" s="39"/>
      <c r="G899" s="39"/>
      <c r="H899" s="39"/>
    </row>
    <row r="900" spans="2:8" s="40" customFormat="1" ht="15.75" customHeight="1" x14ac:dyDescent="0.25">
      <c r="B900" s="39"/>
      <c r="C900" s="39"/>
      <c r="D900" s="39"/>
      <c r="E900" s="39"/>
      <c r="F900" s="39"/>
      <c r="G900" s="39"/>
      <c r="H900" s="39"/>
    </row>
    <row r="901" spans="2:8" s="40" customFormat="1" ht="15.75" customHeight="1" x14ac:dyDescent="0.25">
      <c r="B901" s="39"/>
      <c r="C901" s="39"/>
      <c r="D901" s="39"/>
      <c r="E901" s="39"/>
      <c r="F901" s="39"/>
      <c r="G901" s="39"/>
      <c r="H901" s="39"/>
    </row>
    <row r="902" spans="2:8" s="40" customFormat="1" ht="15.75" customHeight="1" x14ac:dyDescent="0.25">
      <c r="B902" s="39"/>
      <c r="C902" s="39"/>
      <c r="D902" s="39"/>
      <c r="E902" s="39"/>
      <c r="F902" s="39"/>
      <c r="G902" s="39"/>
      <c r="H902" s="39"/>
    </row>
    <row r="903" spans="2:8" s="40" customFormat="1" ht="15.75" customHeight="1" x14ac:dyDescent="0.25">
      <c r="B903" s="39"/>
      <c r="C903" s="39"/>
      <c r="D903" s="39"/>
      <c r="E903" s="39"/>
      <c r="F903" s="39"/>
      <c r="G903" s="39"/>
      <c r="H903" s="39"/>
    </row>
    <row r="904" spans="2:8" s="40" customFormat="1" ht="15.75" customHeight="1" x14ac:dyDescent="0.25">
      <c r="B904" s="39"/>
      <c r="C904" s="39"/>
      <c r="D904" s="39"/>
      <c r="E904" s="39"/>
      <c r="F904" s="39"/>
      <c r="G904" s="39"/>
      <c r="H904" s="39"/>
    </row>
    <row r="905" spans="2:8" s="40" customFormat="1" ht="15.75" customHeight="1" x14ac:dyDescent="0.25">
      <c r="B905" s="39"/>
      <c r="C905" s="39"/>
      <c r="D905" s="39"/>
      <c r="E905" s="39"/>
      <c r="F905" s="39"/>
      <c r="G905" s="39"/>
      <c r="H905" s="39"/>
    </row>
    <row r="906" spans="2:8" s="40" customFormat="1" ht="15.75" customHeight="1" x14ac:dyDescent="0.25">
      <c r="B906" s="39"/>
      <c r="C906" s="39"/>
      <c r="D906" s="39"/>
      <c r="E906" s="39"/>
      <c r="F906" s="39"/>
      <c r="G906" s="39"/>
      <c r="H906" s="39"/>
    </row>
    <row r="907" spans="2:8" s="40" customFormat="1" ht="15.75" customHeight="1" x14ac:dyDescent="0.25">
      <c r="B907" s="39"/>
      <c r="C907" s="39"/>
      <c r="D907" s="39"/>
      <c r="E907" s="39"/>
      <c r="F907" s="39"/>
      <c r="G907" s="39"/>
      <c r="H907" s="39"/>
    </row>
    <row r="908" spans="2:8" s="40" customFormat="1" ht="15.75" customHeight="1" x14ac:dyDescent="0.25">
      <c r="B908" s="39"/>
      <c r="C908" s="39"/>
      <c r="D908" s="39"/>
      <c r="E908" s="39"/>
      <c r="F908" s="39"/>
      <c r="G908" s="39"/>
      <c r="H908" s="39"/>
    </row>
    <row r="909" spans="2:8" s="40" customFormat="1" ht="15.75" customHeight="1" x14ac:dyDescent="0.25">
      <c r="B909" s="39"/>
      <c r="C909" s="39"/>
      <c r="D909" s="39"/>
      <c r="E909" s="39"/>
      <c r="F909" s="39"/>
      <c r="G909" s="39"/>
      <c r="H909" s="39"/>
    </row>
    <row r="910" spans="2:8" s="40" customFormat="1" ht="15.75" customHeight="1" x14ac:dyDescent="0.25">
      <c r="B910" s="39"/>
      <c r="C910" s="39"/>
      <c r="D910" s="39"/>
      <c r="E910" s="39"/>
      <c r="F910" s="39"/>
      <c r="G910" s="39"/>
      <c r="H910" s="39"/>
    </row>
    <row r="911" spans="2:8" s="40" customFormat="1" ht="15.75" customHeight="1" x14ac:dyDescent="0.25">
      <c r="B911" s="39"/>
      <c r="C911" s="39"/>
      <c r="D911" s="39"/>
      <c r="E911" s="39"/>
      <c r="F911" s="39"/>
      <c r="G911" s="39"/>
      <c r="H911" s="39"/>
    </row>
    <row r="912" spans="2:8" s="40" customFormat="1" ht="15.75" customHeight="1" x14ac:dyDescent="0.25">
      <c r="B912" s="39"/>
      <c r="C912" s="39"/>
      <c r="D912" s="39"/>
      <c r="E912" s="39"/>
      <c r="F912" s="39"/>
      <c r="G912" s="39"/>
      <c r="H912" s="39"/>
    </row>
    <row r="913" spans="2:8" s="40" customFormat="1" ht="15.75" customHeight="1" x14ac:dyDescent="0.25">
      <c r="B913" s="39"/>
      <c r="C913" s="39"/>
      <c r="D913" s="39"/>
      <c r="E913" s="39"/>
      <c r="F913" s="39"/>
      <c r="G913" s="39"/>
      <c r="H913" s="39"/>
    </row>
    <row r="914" spans="2:8" s="40" customFormat="1" ht="15.75" customHeight="1" x14ac:dyDescent="0.25">
      <c r="B914" s="39"/>
      <c r="C914" s="39"/>
      <c r="D914" s="39"/>
      <c r="E914" s="39"/>
      <c r="F914" s="39"/>
      <c r="G914" s="39"/>
      <c r="H914" s="39"/>
    </row>
    <row r="915" spans="2:8" s="40" customFormat="1" ht="15.75" customHeight="1" x14ac:dyDescent="0.25">
      <c r="B915" s="39"/>
      <c r="C915" s="39"/>
      <c r="D915" s="39"/>
      <c r="E915" s="39"/>
      <c r="F915" s="39"/>
      <c r="G915" s="39"/>
      <c r="H915" s="39"/>
    </row>
    <row r="916" spans="2:8" s="40" customFormat="1" ht="15.75" customHeight="1" x14ac:dyDescent="0.25">
      <c r="B916" s="39"/>
      <c r="C916" s="39"/>
      <c r="D916" s="39"/>
      <c r="E916" s="39"/>
      <c r="F916" s="39"/>
      <c r="G916" s="39"/>
      <c r="H916" s="39"/>
    </row>
    <row r="917" spans="2:8" s="40" customFormat="1" ht="15.75" customHeight="1" x14ac:dyDescent="0.25">
      <c r="B917" s="39"/>
      <c r="C917" s="39"/>
      <c r="D917" s="39"/>
      <c r="E917" s="39"/>
      <c r="F917" s="39"/>
      <c r="G917" s="39"/>
      <c r="H917" s="39"/>
    </row>
    <row r="918" spans="2:8" s="40" customFormat="1" ht="15.75" customHeight="1" x14ac:dyDescent="0.25">
      <c r="B918" s="39"/>
      <c r="C918" s="39"/>
      <c r="D918" s="39"/>
      <c r="E918" s="39"/>
      <c r="F918" s="39"/>
      <c r="G918" s="39"/>
      <c r="H918" s="39"/>
    </row>
    <row r="919" spans="2:8" s="40" customFormat="1" ht="15.75" customHeight="1" x14ac:dyDescent="0.25">
      <c r="B919" s="39"/>
      <c r="C919" s="39"/>
      <c r="D919" s="39"/>
      <c r="E919" s="39"/>
      <c r="F919" s="39"/>
      <c r="G919" s="39"/>
      <c r="H919" s="39"/>
    </row>
    <row r="920" spans="2:8" s="40" customFormat="1" ht="15.75" customHeight="1" x14ac:dyDescent="0.25">
      <c r="B920" s="39"/>
      <c r="C920" s="39"/>
      <c r="D920" s="39"/>
      <c r="E920" s="39"/>
      <c r="F920" s="39"/>
      <c r="G920" s="39"/>
      <c r="H920" s="39"/>
    </row>
    <row r="921" spans="2:8" s="40" customFormat="1" ht="15.75" customHeight="1" x14ac:dyDescent="0.25">
      <c r="B921" s="39"/>
      <c r="C921" s="39"/>
      <c r="D921" s="39"/>
      <c r="E921" s="39"/>
      <c r="F921" s="39"/>
      <c r="G921" s="39"/>
      <c r="H921" s="39"/>
    </row>
    <row r="922" spans="2:8" s="40" customFormat="1" ht="15.75" customHeight="1" x14ac:dyDescent="0.25">
      <c r="B922" s="39"/>
      <c r="C922" s="39"/>
      <c r="D922" s="39"/>
      <c r="E922" s="39"/>
      <c r="F922" s="39"/>
      <c r="G922" s="39"/>
      <c r="H922" s="39"/>
    </row>
    <row r="923" spans="2:8" s="40" customFormat="1" ht="15.75" customHeight="1" x14ac:dyDescent="0.25">
      <c r="B923" s="39"/>
      <c r="C923" s="39"/>
      <c r="D923" s="39"/>
      <c r="E923" s="39"/>
      <c r="F923" s="39"/>
      <c r="G923" s="39"/>
      <c r="H923" s="39"/>
    </row>
    <row r="924" spans="2:8" s="40" customFormat="1" ht="15.75" customHeight="1" x14ac:dyDescent="0.25">
      <c r="B924" s="39"/>
      <c r="C924" s="39"/>
      <c r="D924" s="39"/>
      <c r="E924" s="39"/>
      <c r="F924" s="39"/>
      <c r="G924" s="39"/>
      <c r="H924" s="39"/>
    </row>
    <row r="925" spans="2:8" s="40" customFormat="1" ht="15.75" customHeight="1" x14ac:dyDescent="0.25">
      <c r="B925" s="39"/>
      <c r="C925" s="39"/>
      <c r="D925" s="39"/>
      <c r="E925" s="39"/>
      <c r="F925" s="39"/>
      <c r="G925" s="39"/>
      <c r="H925" s="39"/>
    </row>
    <row r="926" spans="2:8" s="40" customFormat="1" ht="15.75" customHeight="1" x14ac:dyDescent="0.25">
      <c r="B926" s="39"/>
      <c r="C926" s="39"/>
      <c r="D926" s="39"/>
      <c r="E926" s="39"/>
      <c r="F926" s="39"/>
      <c r="G926" s="39"/>
      <c r="H926" s="39"/>
    </row>
    <row r="927" spans="2:8" s="40" customFormat="1" ht="15.75" customHeight="1" x14ac:dyDescent="0.25">
      <c r="B927" s="39"/>
      <c r="C927" s="39"/>
      <c r="D927" s="39"/>
      <c r="E927" s="39"/>
      <c r="F927" s="39"/>
      <c r="G927" s="39"/>
      <c r="H927" s="39"/>
    </row>
    <row r="928" spans="2:8" s="40" customFormat="1" ht="15.75" customHeight="1" x14ac:dyDescent="0.25">
      <c r="B928" s="39"/>
      <c r="C928" s="39"/>
      <c r="D928" s="39"/>
      <c r="E928" s="39"/>
      <c r="F928" s="39"/>
      <c r="G928" s="39"/>
      <c r="H928" s="39"/>
    </row>
    <row r="929" spans="2:8" s="40" customFormat="1" ht="15.75" customHeight="1" x14ac:dyDescent="0.25">
      <c r="B929" s="39"/>
      <c r="C929" s="39"/>
      <c r="D929" s="39"/>
      <c r="E929" s="39"/>
      <c r="F929" s="39"/>
      <c r="G929" s="39"/>
      <c r="H929" s="39"/>
    </row>
    <row r="930" spans="2:8" s="40" customFormat="1" ht="15.75" customHeight="1" x14ac:dyDescent="0.25">
      <c r="B930" s="39"/>
      <c r="C930" s="39"/>
      <c r="D930" s="39"/>
      <c r="E930" s="39"/>
      <c r="F930" s="39"/>
      <c r="G930" s="39"/>
      <c r="H930" s="39"/>
    </row>
    <row r="931" spans="2:8" s="40" customFormat="1" ht="15.75" customHeight="1" x14ac:dyDescent="0.25">
      <c r="B931" s="39"/>
      <c r="C931" s="39"/>
      <c r="D931" s="39"/>
      <c r="E931" s="39"/>
      <c r="F931" s="39"/>
      <c r="G931" s="39"/>
      <c r="H931" s="39"/>
    </row>
    <row r="932" spans="2:8" s="40" customFormat="1" ht="15.75" customHeight="1" x14ac:dyDescent="0.25">
      <c r="B932" s="39"/>
      <c r="C932" s="39"/>
      <c r="D932" s="39"/>
      <c r="E932" s="39"/>
      <c r="F932" s="39"/>
      <c r="G932" s="39"/>
      <c r="H932" s="39"/>
    </row>
    <row r="933" spans="2:8" s="40" customFormat="1" ht="15.75" customHeight="1" x14ac:dyDescent="0.25">
      <c r="B933" s="39"/>
      <c r="C933" s="39"/>
      <c r="D933" s="39"/>
      <c r="E933" s="39"/>
      <c r="F933" s="39"/>
      <c r="G933" s="39"/>
      <c r="H933" s="39"/>
    </row>
    <row r="934" spans="2:8" s="40" customFormat="1" ht="15.75" customHeight="1" x14ac:dyDescent="0.25">
      <c r="B934" s="39"/>
      <c r="C934" s="39"/>
      <c r="D934" s="39"/>
      <c r="E934" s="39"/>
      <c r="F934" s="39"/>
      <c r="G934" s="39"/>
      <c r="H934" s="39"/>
    </row>
    <row r="935" spans="2:8" s="40" customFormat="1" ht="15.75" customHeight="1" x14ac:dyDescent="0.25">
      <c r="B935" s="39"/>
      <c r="C935" s="39"/>
      <c r="D935" s="39"/>
      <c r="E935" s="39"/>
      <c r="F935" s="39"/>
      <c r="G935" s="39"/>
      <c r="H935" s="39"/>
    </row>
    <row r="936" spans="2:8" s="40" customFormat="1" ht="15.75" customHeight="1" x14ac:dyDescent="0.25">
      <c r="B936" s="39"/>
      <c r="C936" s="39"/>
      <c r="D936" s="39"/>
      <c r="E936" s="39"/>
      <c r="F936" s="39"/>
      <c r="G936" s="39"/>
      <c r="H936" s="39"/>
    </row>
    <row r="937" spans="2:8" s="40" customFormat="1" ht="15.75" customHeight="1" x14ac:dyDescent="0.25">
      <c r="B937" s="39"/>
      <c r="C937" s="39"/>
      <c r="D937" s="39"/>
      <c r="E937" s="39"/>
      <c r="F937" s="39"/>
      <c r="G937" s="39"/>
      <c r="H937" s="39"/>
    </row>
    <row r="938" spans="2:8" s="40" customFormat="1" ht="15.75" customHeight="1" x14ac:dyDescent="0.25">
      <c r="B938" s="39"/>
      <c r="C938" s="39"/>
      <c r="D938" s="39"/>
      <c r="E938" s="39"/>
      <c r="F938" s="39"/>
      <c r="G938" s="39"/>
      <c r="H938" s="39"/>
    </row>
    <row r="939" spans="2:8" s="40" customFormat="1" ht="15.75" customHeight="1" x14ac:dyDescent="0.25">
      <c r="B939" s="39"/>
      <c r="C939" s="39"/>
      <c r="D939" s="39"/>
      <c r="E939" s="39"/>
      <c r="F939" s="39"/>
      <c r="G939" s="39"/>
      <c r="H939" s="39"/>
    </row>
    <row r="940" spans="2:8" s="40" customFormat="1" ht="15.75" customHeight="1" x14ac:dyDescent="0.25">
      <c r="B940" s="39"/>
      <c r="C940" s="39"/>
      <c r="D940" s="39"/>
      <c r="E940" s="39"/>
      <c r="F940" s="39"/>
      <c r="G940" s="39"/>
      <c r="H940" s="39"/>
    </row>
    <row r="941" spans="2:8" s="40" customFormat="1" ht="15.75" customHeight="1" x14ac:dyDescent="0.25">
      <c r="B941" s="39"/>
      <c r="C941" s="39"/>
      <c r="D941" s="39"/>
      <c r="E941" s="39"/>
      <c r="F941" s="39"/>
      <c r="G941" s="39"/>
      <c r="H941" s="3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R149"/>
  <sheetViews>
    <sheetView showGridLines="0" zoomScaleNormal="100" workbookViewId="0">
      <pane xSplit="1" ySplit="4" topLeftCell="G5" activePane="bottomRight" state="frozen"/>
      <selection activeCell="A22" sqref="A1:XFD1048576"/>
      <selection pane="topRight" activeCell="A22" sqref="A1:XFD1048576"/>
      <selection pane="bottomLeft" activeCell="A22" sqref="A1:XFD1048576"/>
      <selection pane="bottomRight" activeCell="U118" sqref="U118"/>
    </sheetView>
  </sheetViews>
  <sheetFormatPr baseColWidth="10" defaultRowHeight="15" x14ac:dyDescent="0.25"/>
  <cols>
    <col min="2" max="2" width="11.42578125" style="6"/>
    <col min="3" max="3" width="11.42578125" style="7"/>
    <col min="4" max="8" width="12.5703125" style="5" customWidth="1"/>
    <col min="10" max="19" width="11.42578125" style="5" customWidth="1"/>
    <col min="22" max="22" width="14.85546875" bestFit="1" customWidth="1"/>
    <col min="23" max="27" width="11.85546875" customWidth="1"/>
    <col min="29" max="52" width="11.85546875" customWidth="1"/>
    <col min="53" max="62" width="11.42578125" style="7"/>
    <col min="65" max="65" width="11.42578125" style="6"/>
    <col min="66" max="66" width="11.42578125" style="7"/>
    <col min="67" max="67" width="12.5703125" style="5" customWidth="1"/>
    <col min="68" max="68" width="9.5703125" customWidth="1"/>
    <col min="69" max="69" width="12.85546875" customWidth="1"/>
    <col min="75" max="75" width="11.42578125" style="6"/>
    <col min="76" max="76" width="11.42578125" style="7"/>
    <col min="77" max="77" width="12.5703125" style="5" customWidth="1"/>
    <col min="78" max="78" width="12.7109375" customWidth="1"/>
    <col min="79" max="79" width="12.85546875" customWidth="1"/>
  </cols>
  <sheetData>
    <row r="1" spans="1:93" ht="18.75" x14ac:dyDescent="0.3">
      <c r="B1" s="10" t="s">
        <v>232</v>
      </c>
      <c r="F1" s="326">
        <f>Simulation!$D$23</f>
        <v>1.2999999999999999E-2</v>
      </c>
    </row>
    <row r="2" spans="1:93" s="8" customFormat="1" ht="25.5" customHeight="1" x14ac:dyDescent="0.3">
      <c r="B2" s="10" t="s">
        <v>14</v>
      </c>
      <c r="C2" s="11"/>
      <c r="D2" s="9"/>
      <c r="E2" s="9"/>
      <c r="F2" s="9"/>
      <c r="G2" s="9"/>
      <c r="H2" s="9"/>
      <c r="J2" s="12" t="s">
        <v>15</v>
      </c>
      <c r="K2" s="12"/>
      <c r="L2" s="257"/>
      <c r="M2" s="257"/>
      <c r="N2" s="12"/>
      <c r="O2" s="12"/>
      <c r="P2" s="257"/>
      <c r="Q2" s="257"/>
      <c r="R2" s="257"/>
      <c r="S2" s="12"/>
      <c r="AC2" s="8" t="s">
        <v>16</v>
      </c>
      <c r="AD2" s="319"/>
      <c r="AE2" s="319"/>
      <c r="AF2" s="319"/>
      <c r="AG2" s="319"/>
      <c r="AH2" s="319"/>
      <c r="AN2" s="319"/>
      <c r="AO2" s="319"/>
      <c r="AP2" s="319"/>
      <c r="AS2" s="319"/>
      <c r="AT2" s="319"/>
      <c r="AU2" s="319"/>
      <c r="AX2" s="319"/>
      <c r="AY2" s="319"/>
      <c r="AZ2" s="319"/>
      <c r="BA2" s="11"/>
      <c r="BB2" s="11"/>
      <c r="BC2" s="11"/>
      <c r="BD2" s="11"/>
      <c r="BE2" s="11"/>
      <c r="BF2" s="11"/>
      <c r="BG2" s="11"/>
      <c r="BH2" s="11"/>
      <c r="BI2" s="11"/>
      <c r="BJ2" s="11"/>
      <c r="BM2" s="10" t="s">
        <v>104</v>
      </c>
      <c r="BN2" s="11"/>
      <c r="BO2" s="9"/>
      <c r="BW2" s="10" t="s">
        <v>104</v>
      </c>
      <c r="BX2" s="11"/>
      <c r="BY2" s="9"/>
      <c r="CG2" s="10" t="s">
        <v>233</v>
      </c>
    </row>
    <row r="3" spans="1:93" ht="18.75" customHeight="1" x14ac:dyDescent="0.3">
      <c r="L3" s="258"/>
      <c r="M3" s="258"/>
      <c r="P3" s="258"/>
      <c r="Q3" s="258"/>
      <c r="R3" s="258"/>
      <c r="BM3" s="10" t="s">
        <v>18</v>
      </c>
      <c r="BW3" s="10" t="s">
        <v>27</v>
      </c>
      <c r="CH3" s="10"/>
    </row>
    <row r="4" spans="1:93" s="3" customFormat="1" ht="120" x14ac:dyDescent="0.25">
      <c r="A4" s="300" t="s">
        <v>10</v>
      </c>
      <c r="B4" s="301" t="s">
        <v>2</v>
      </c>
      <c r="C4" s="302" t="s">
        <v>6</v>
      </c>
      <c r="D4" s="192" t="s">
        <v>3</v>
      </c>
      <c r="E4" s="192" t="s">
        <v>28</v>
      </c>
      <c r="F4" s="192" t="s">
        <v>7</v>
      </c>
      <c r="G4" s="192" t="s">
        <v>146</v>
      </c>
      <c r="H4" s="192"/>
      <c r="I4" s="193" t="s">
        <v>10</v>
      </c>
      <c r="J4" s="299" t="s">
        <v>9</v>
      </c>
      <c r="K4" s="192" t="s">
        <v>92</v>
      </c>
      <c r="L4" s="192" t="s">
        <v>174</v>
      </c>
      <c r="M4" s="192" t="s">
        <v>254</v>
      </c>
      <c r="N4" s="679" t="s">
        <v>375</v>
      </c>
      <c r="O4" s="679" t="s">
        <v>374</v>
      </c>
      <c r="P4" s="679" t="s">
        <v>371</v>
      </c>
      <c r="Q4" s="192" t="s">
        <v>174</v>
      </c>
      <c r="R4" s="192" t="s">
        <v>254</v>
      </c>
      <c r="S4" s="192" t="s">
        <v>56</v>
      </c>
      <c r="T4" s="193" t="s">
        <v>4</v>
      </c>
      <c r="U4" s="193" t="s">
        <v>5</v>
      </c>
      <c r="V4" s="193" t="s">
        <v>13</v>
      </c>
      <c r="W4" s="193" t="s">
        <v>64</v>
      </c>
      <c r="X4" s="193" t="s">
        <v>182</v>
      </c>
      <c r="Y4" s="193" t="s">
        <v>183</v>
      </c>
      <c r="Z4" s="193" t="s">
        <v>184</v>
      </c>
      <c r="AA4" s="193"/>
      <c r="AB4" s="193" t="s">
        <v>10</v>
      </c>
      <c r="AC4" s="195" t="s">
        <v>365</v>
      </c>
      <c r="AD4" s="193" t="s">
        <v>221</v>
      </c>
      <c r="AE4" s="193" t="s">
        <v>255</v>
      </c>
      <c r="AF4" s="193" t="s">
        <v>366</v>
      </c>
      <c r="AG4" s="193" t="s">
        <v>222</v>
      </c>
      <c r="AH4" s="193" t="s">
        <v>256</v>
      </c>
      <c r="AI4" s="193" t="s">
        <v>367</v>
      </c>
      <c r="AJ4" s="193" t="s">
        <v>369</v>
      </c>
      <c r="AK4" s="193" t="s">
        <v>368</v>
      </c>
      <c r="AL4" s="680" t="s">
        <v>370</v>
      </c>
      <c r="AM4" s="680" t="s">
        <v>372</v>
      </c>
      <c r="AN4" s="680" t="s">
        <v>373</v>
      </c>
      <c r="AO4" s="193" t="s">
        <v>223</v>
      </c>
      <c r="AP4" s="193" t="s">
        <v>257</v>
      </c>
      <c r="AQ4" s="680" t="s">
        <v>377</v>
      </c>
      <c r="AR4" s="680" t="s">
        <v>378</v>
      </c>
      <c r="AS4" s="680" t="s">
        <v>376</v>
      </c>
      <c r="AT4" s="193" t="s">
        <v>224</v>
      </c>
      <c r="AU4" s="193" t="s">
        <v>258</v>
      </c>
      <c r="AV4" s="680" t="s">
        <v>379</v>
      </c>
      <c r="AW4" s="680" t="s">
        <v>380</v>
      </c>
      <c r="AX4" s="680" t="s">
        <v>381</v>
      </c>
      <c r="AY4" s="193" t="s">
        <v>225</v>
      </c>
      <c r="AZ4" s="193" t="s">
        <v>259</v>
      </c>
      <c r="BA4" s="67" t="s">
        <v>57</v>
      </c>
      <c r="BB4" s="682" t="s">
        <v>382</v>
      </c>
      <c r="BC4" s="682" t="s">
        <v>383</v>
      </c>
      <c r="BD4" s="68" t="s">
        <v>59</v>
      </c>
      <c r="BE4" s="682" t="s">
        <v>384</v>
      </c>
      <c r="BF4" s="682" t="s">
        <v>385</v>
      </c>
      <c r="BG4" s="67" t="s">
        <v>8</v>
      </c>
      <c r="BH4" s="682" t="s">
        <v>386</v>
      </c>
      <c r="BI4" s="682" t="s">
        <v>387</v>
      </c>
      <c r="BJ4" s="302" t="s">
        <v>17</v>
      </c>
      <c r="BK4" s="298"/>
      <c r="BL4" s="193" t="s">
        <v>10</v>
      </c>
      <c r="BM4" s="301" t="s">
        <v>19</v>
      </c>
      <c r="BN4" s="302" t="s">
        <v>20</v>
      </c>
      <c r="BO4" s="192" t="s">
        <v>11</v>
      </c>
      <c r="BP4" s="192" t="s">
        <v>21</v>
      </c>
      <c r="BQ4" s="192" t="s">
        <v>23</v>
      </c>
      <c r="BR4" s="192" t="s">
        <v>24</v>
      </c>
      <c r="BS4" s="192" t="s">
        <v>25</v>
      </c>
      <c r="BT4" s="192" t="s">
        <v>26</v>
      </c>
      <c r="BU4" s="298"/>
      <c r="BV4" s="193" t="s">
        <v>10</v>
      </c>
      <c r="BW4" s="301" t="s">
        <v>19</v>
      </c>
      <c r="BX4" s="302" t="s">
        <v>20</v>
      </c>
      <c r="BY4" s="192" t="s">
        <v>11</v>
      </c>
      <c r="BZ4" s="192" t="s">
        <v>21</v>
      </c>
      <c r="CA4" s="192" t="s">
        <v>23</v>
      </c>
      <c r="CB4" s="192" t="s">
        <v>24</v>
      </c>
      <c r="CC4" s="192" t="s">
        <v>25</v>
      </c>
      <c r="CD4" s="192" t="s">
        <v>26</v>
      </c>
      <c r="CE4" s="312" t="s">
        <v>235</v>
      </c>
      <c r="CG4" s="193" t="s">
        <v>10</v>
      </c>
      <c r="CH4" s="316" t="s">
        <v>207</v>
      </c>
      <c r="CI4" s="312" t="s">
        <v>208</v>
      </c>
      <c r="CJ4" s="305" t="s">
        <v>209</v>
      </c>
      <c r="CK4" s="193" t="s">
        <v>388</v>
      </c>
      <c r="CL4" s="305" t="s">
        <v>210</v>
      </c>
      <c r="CM4" s="193" t="s">
        <v>212</v>
      </c>
      <c r="CN4" s="193" t="s">
        <v>211</v>
      </c>
      <c r="CO4" s="193" t="s">
        <v>213</v>
      </c>
    </row>
    <row r="5" spans="1:93" s="361" customFormat="1" hidden="1" x14ac:dyDescent="0.25">
      <c r="A5" s="666">
        <v>1957</v>
      </c>
      <c r="B5" s="54">
        <f>IF($F$1=1.8%,LOOKUP($A5,Prix!B$6:B$127,Prix!$G$6:$G$127),IF($F$1=1.5%,LOOKUP($A5,Prix!B$6:B$127,Prix!$H$6:$H$127),IF($F$1=1.3%,LOOKUP($A5,Prix!B$6:B$127,Prix!$I$6:$I$127),LOOKUP($A5,Prix!B$6:B$127,Prix!$J$6:$J$127))))</f>
        <v>3.1165311653116534E-2</v>
      </c>
      <c r="C5" s="7">
        <f t="shared" ref="C5:C64" si="0">C6/(1+B5)</f>
        <v>7.0466914924090546E-2</v>
      </c>
      <c r="D5" s="56">
        <f>IF($F$1=1.8%,LOOKUP($A5,SMPT!$B$6:$B$127,SMPT!$C$6:$C$127),IF($F$1=1.5%,LOOKUP($A5,SMPT!$B$6:$B$127,SMPT!$D$6:$D$127),IF($F$1=1.3%,LOOKUP($A5,SMPT!$B$6:$B$127,SMPT!$E$6:$E$127),LOOKUP($A5,SMPT!$B$6:$B$127,SMPT!$F$6:$F$127))))</f>
        <v>966.28635822648982</v>
      </c>
      <c r="E5" s="79"/>
      <c r="F5" s="56">
        <f>IF($F$1=1.8%,LOOKUP($A5,SMIC!$B$6:$B$125,SMIC!$C$6:$C$125),IF($F$1=1.5%,LOOKUP($A5,SMIC!$B$6:$B$125,SMIC!$D$6:$D$125),IF($F$1=1.3%,LOOKUP($A5,SMIC!$B$6:$B$125,SMIC!$E$6:$E$125),LOOKUP($A5,SMIC!$B$6:$B$125,SMIC!$F$6:$F$125))))</f>
        <v>409.44083767936593</v>
      </c>
      <c r="G5" s="153">
        <f t="shared" ref="G5:G64" si="1">D5/D$68</f>
        <v>2.6308508044056003E-2</v>
      </c>
      <c r="H5" s="79"/>
      <c r="I5" s="666">
        <v>1957</v>
      </c>
      <c r="J5" s="662"/>
      <c r="K5" s="669">
        <f t="shared" ref="K5:K10" si="2">L5+M5</f>
        <v>2.1299999999999999E-2</v>
      </c>
      <c r="L5" s="669">
        <v>1.38E-2</v>
      </c>
      <c r="M5" s="669">
        <v>7.4999999999999997E-3</v>
      </c>
      <c r="N5" s="668">
        <f>O5+P5</f>
        <v>0</v>
      </c>
      <c r="O5" s="668">
        <f>IF(Simulation!$D$43="Oui",$Q5,0)</f>
        <v>0</v>
      </c>
      <c r="P5" s="668">
        <f>IF(Simulation!$D$43="Oui",$R5,0)</f>
        <v>0</v>
      </c>
      <c r="Q5" s="677">
        <v>0</v>
      </c>
      <c r="R5" s="677">
        <v>0</v>
      </c>
      <c r="S5" s="56">
        <f>IF($F$1=1.8%,LOOKUP($A5,Sal_valid!$B$6:$B$127,Sal_valid!$C$6:$C$127),IF($F$1=1.5%,LOOKUP($A5,Sal_valid!$B$6:$B$127,Sal_valid!$D$6:$D$127),IF($F$1=1.3%,LOOKUP($A5,Sal_valid!$B$6:$B$127,Sal_valid!$E$6:$E$127),LOOKUP($A5,Sal_valid!$B$6:$B$127,Sal_valid!$F$6:$F$127))))</f>
        <v>27.585649669109408</v>
      </c>
      <c r="T5" s="73">
        <f>Revalo_RB!$D17</f>
        <v>0.13518301973707536</v>
      </c>
      <c r="U5" s="73">
        <f>Revalo_RB!$H17</f>
        <v>0</v>
      </c>
      <c r="V5" s="56">
        <f>IF($F$1=1.8%,LOOKUP($A5,PSS!$B$6:$B$127,PSS!$C$6:$C$127),IF($F$1=1.5%,LOOKUP($A5,PSS!$B$6:$B$127,PSS!$D$6:$D$127),IF($F$1=1.3%,LOOKUP($A5,PSS!$B$6:$B$127,PSS!$E$6:$E$127),LOOKUP($A5,PSS!$B$6:$B$127,PSS!$F$6:$F$127))))</f>
        <v>804.93081101352686</v>
      </c>
      <c r="W5" s="56"/>
      <c r="X5" s="56"/>
      <c r="Y5" s="56"/>
      <c r="Z5" s="56"/>
      <c r="AA5" s="337"/>
      <c r="AB5" s="666">
        <v>1957</v>
      </c>
      <c r="AC5" s="672">
        <v>0.04</v>
      </c>
      <c r="AD5" s="673">
        <v>2.4E-2</v>
      </c>
      <c r="AE5" s="673">
        <v>1.6E-2</v>
      </c>
      <c r="AF5" s="668">
        <v>0.08</v>
      </c>
      <c r="AG5" s="668">
        <v>0.06</v>
      </c>
      <c r="AH5" s="668">
        <v>0.02</v>
      </c>
      <c r="AI5" s="337"/>
      <c r="AJ5" s="667">
        <v>1</v>
      </c>
      <c r="AK5" s="667">
        <v>0.85</v>
      </c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663"/>
      <c r="BB5" s="686">
        <v>0.17684</v>
      </c>
      <c r="BC5" s="683">
        <v>0.41052995851862245</v>
      </c>
      <c r="BD5" s="664"/>
      <c r="BE5" s="687">
        <v>2.2866999999999998E-2</v>
      </c>
      <c r="BF5" s="664"/>
      <c r="BG5" s="664"/>
      <c r="BH5" s="687">
        <v>2.2867352585611556E-2</v>
      </c>
      <c r="BI5" s="664"/>
      <c r="BJ5" s="661"/>
      <c r="BK5" s="366"/>
      <c r="BL5" s="666">
        <v>1957</v>
      </c>
      <c r="BM5" s="660"/>
      <c r="BN5" s="661"/>
      <c r="BO5" s="79"/>
      <c r="BP5" s="79"/>
      <c r="BQ5" s="79"/>
      <c r="BR5" s="79"/>
      <c r="BS5" s="79"/>
      <c r="BT5" s="79"/>
      <c r="BU5" s="366"/>
      <c r="BV5" s="666">
        <v>1957</v>
      </c>
      <c r="BW5" s="660"/>
      <c r="BX5" s="661"/>
      <c r="BY5" s="79"/>
      <c r="BZ5" s="79"/>
      <c r="CA5" s="79"/>
      <c r="CB5" s="79"/>
      <c r="CC5" s="79"/>
      <c r="CD5" s="79"/>
      <c r="CE5" s="665"/>
      <c r="CG5" s="666">
        <v>1957</v>
      </c>
      <c r="CH5" s="675"/>
      <c r="CI5" s="665"/>
      <c r="CJ5" s="336"/>
      <c r="CK5" s="336"/>
      <c r="CL5" s="697">
        <v>5.2499999999999998E-2</v>
      </c>
      <c r="CM5" s="673"/>
      <c r="CN5" s="673"/>
      <c r="CO5" s="337"/>
    </row>
    <row r="6" spans="1:93" s="361" customFormat="1" hidden="1" x14ac:dyDescent="0.25">
      <c r="A6" s="666">
        <v>1958</v>
      </c>
      <c r="B6" s="54">
        <f>IF($F$1=1.8%,LOOKUP($A6,Prix!B$6:B$127,Prix!$G$6:$G$127),IF($F$1=1.5%,LOOKUP($A6,Prix!B$6:B$127,Prix!$H$6:$H$127),IF($F$1=1.3%,LOOKUP($A6,Prix!B$6:B$127,Prix!$I$6:$I$127),LOOKUP($A6,Prix!B$6:B$127,Prix!$J$6:$J$127))))</f>
        <v>0.14980289093298294</v>
      </c>
      <c r="C6" s="7">
        <f t="shared" si="0"/>
        <v>7.2663038288933474E-2</v>
      </c>
      <c r="D6" s="56">
        <f>IF($F$1=1.8%,LOOKUP($A6,SMPT!$B$6:$B$127,SMPT!$C$6:$C$127),IF($F$1=1.5%,LOOKUP($A6,SMPT!$B$6:$B$127,SMPT!$D$6:$D$127),IF($F$1=1.3%,LOOKUP($A6,SMPT!$B$6:$B$127,SMPT!$E$6:$E$127),LOOKUP($A6,SMPT!$B$6:$B$127,SMPT!$F$6:$F$127))))</f>
        <v>1111.7841346876673</v>
      </c>
      <c r="E6" s="58">
        <f t="shared" ref="E6:E65" si="3">D6/D5-1</f>
        <v>0.15057418044090198</v>
      </c>
      <c r="F6" s="56">
        <f>IF($F$1=1.8%,LOOKUP($A6,SMIC!$B$6:$B$125,SMIC!$C$6:$C$125),IF($F$1=1.5%,LOOKUP($A6,SMIC!$B$6:$B$125,SMIC!$D$6:$D$125),IF($F$1=1.3%,LOOKUP($A6,SMIC!$B$6:$B$125,SMIC!$E$6:$E$125),LOOKUP($A6,SMIC!$B$6:$B$125,SMIC!$F$6:$F$125))))</f>
        <v>464.5548078337327</v>
      </c>
      <c r="G6" s="153">
        <f t="shared" si="1"/>
        <v>3.0269890081412613E-2</v>
      </c>
      <c r="H6" s="357">
        <f t="shared" ref="H6:H65" si="4">V6/V5-1</f>
        <v>0.13636363636363624</v>
      </c>
      <c r="I6" s="666">
        <v>1958</v>
      </c>
      <c r="J6" s="662"/>
      <c r="K6" s="669">
        <f t="shared" si="2"/>
        <v>2.1299999999999999E-2</v>
      </c>
      <c r="L6" s="669">
        <v>1.38E-2</v>
      </c>
      <c r="M6" s="669">
        <v>7.4999999999999997E-3</v>
      </c>
      <c r="N6" s="668">
        <f t="shared" ref="N6:N10" si="5">O6+P6</f>
        <v>0</v>
      </c>
      <c r="O6" s="668">
        <f>IF(Simulation!$D$43="Oui",$Q6,0)</f>
        <v>0</v>
      </c>
      <c r="P6" s="668">
        <f>IF(Simulation!$D$43="Oui",$R6,0)</f>
        <v>0</v>
      </c>
      <c r="Q6" s="677">
        <v>0</v>
      </c>
      <c r="R6" s="677">
        <v>0</v>
      </c>
      <c r="S6" s="56">
        <f>IF($F$1=1.8%,LOOKUP($A6,Sal_valid!$B$6:$B$127,Sal_valid!$C$6:$C$127),IF($F$1=1.5%,LOOKUP($A6,Sal_valid!$B$6:$B$127,Sal_valid!$D$6:$D$127),IF($F$1=1.3%,LOOKUP($A6,Sal_valid!$B$6:$B$127,Sal_valid!$E$6:$E$127),LOOKUP($A6,Sal_valid!$B$6:$B$127,Sal_valid!$F$6:$F$127))))</f>
        <v>27.585649669109408</v>
      </c>
      <c r="T6" s="73">
        <f>Revalo_RB!$D18</f>
        <v>0.10501585809937741</v>
      </c>
      <c r="U6" s="73">
        <f>Revalo_RB!$H18</f>
        <v>0</v>
      </c>
      <c r="V6" s="56">
        <f>IF($F$1=1.8%,LOOKUP($A6,PSS!$B$6:$B$127,PSS!$C$6:$C$127),IF($F$1=1.5%,LOOKUP($A6,PSS!$B$6:$B$127,PSS!$D$6:$D$127),IF($F$1=1.3%,LOOKUP($A6,PSS!$B$6:$B$127,PSS!$E$6:$E$127),LOOKUP($A6,PSS!$B$6:$B$127,PSS!$F$6:$F$127))))</f>
        <v>914.69410342446224</v>
      </c>
      <c r="W6" s="56"/>
      <c r="X6" s="56"/>
      <c r="Y6" s="56"/>
      <c r="Z6" s="56"/>
      <c r="AA6" s="337"/>
      <c r="AB6" s="666">
        <v>1958</v>
      </c>
      <c r="AC6" s="672">
        <v>0.04</v>
      </c>
      <c r="AD6" s="673">
        <v>2.4E-2</v>
      </c>
      <c r="AE6" s="673">
        <v>1.6E-2</v>
      </c>
      <c r="AF6" s="668">
        <v>0.08</v>
      </c>
      <c r="AG6" s="668">
        <v>0.06</v>
      </c>
      <c r="AH6" s="668">
        <v>0.02</v>
      </c>
      <c r="AI6" s="337"/>
      <c r="AJ6" s="667">
        <v>1</v>
      </c>
      <c r="AK6" s="667">
        <v>0.85</v>
      </c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663"/>
      <c r="BB6" s="686">
        <v>0.19818</v>
      </c>
      <c r="BC6" s="683">
        <v>0.4604112769587031</v>
      </c>
      <c r="BD6" s="664"/>
      <c r="BE6" s="687">
        <v>2.5153999999999999E-2</v>
      </c>
      <c r="BF6" s="664"/>
      <c r="BG6" s="664"/>
      <c r="BH6" s="687">
        <v>2.6297455473453288E-2</v>
      </c>
      <c r="BI6" s="664"/>
      <c r="BJ6" s="661"/>
      <c r="BK6" s="366"/>
      <c r="BL6" s="666">
        <v>1958</v>
      </c>
      <c r="BM6" s="660"/>
      <c r="BN6" s="661"/>
      <c r="BO6" s="79"/>
      <c r="BP6" s="79"/>
      <c r="BQ6" s="79"/>
      <c r="BR6" s="79"/>
      <c r="BS6" s="79"/>
      <c r="BT6" s="79"/>
      <c r="BU6" s="366"/>
      <c r="BV6" s="666">
        <v>1958</v>
      </c>
      <c r="BW6" s="660"/>
      <c r="BX6" s="661"/>
      <c r="BY6" s="79"/>
      <c r="BZ6" s="79"/>
      <c r="CA6" s="79"/>
      <c r="CB6" s="79"/>
      <c r="CC6" s="79"/>
      <c r="CD6" s="79"/>
      <c r="CE6" s="665"/>
      <c r="CG6" s="666">
        <v>1958</v>
      </c>
      <c r="CH6" s="676"/>
      <c r="CI6" s="665"/>
      <c r="CJ6" s="336"/>
      <c r="CK6" s="336"/>
      <c r="CL6" s="697">
        <v>5.2499999999999998E-2</v>
      </c>
      <c r="CM6" s="673"/>
      <c r="CN6" s="673"/>
      <c r="CO6" s="337"/>
    </row>
    <row r="7" spans="1:93" s="361" customFormat="1" hidden="1" x14ac:dyDescent="0.25">
      <c r="A7" s="666">
        <v>1959</v>
      </c>
      <c r="B7" s="54">
        <f>IF($F$1=1.8%,LOOKUP($A7,Prix!B$6:B$127,Prix!$G$6:$G$127),IF($F$1=1.5%,LOOKUP($A7,Prix!B$6:B$127,Prix!$H$6:$H$127),IF($F$1=1.3%,LOOKUP($A7,Prix!B$6:B$127,Prix!$I$6:$I$127),LOOKUP($A7,Prix!B$6:B$127,Prix!$J$6:$J$127))))</f>
        <v>6.1714285714285833E-2</v>
      </c>
      <c r="C7" s="7">
        <f t="shared" si="0"/>
        <v>8.3548171488589743E-2</v>
      </c>
      <c r="D7" s="56">
        <f>IF($F$1=1.8%,LOOKUP($A7,SMPT!$B$6:$B$127,SMPT!$C$6:$C$127),IF($F$1=1.5%,LOOKUP($A7,SMPT!$B$6:$B$127,SMPT!$D$6:$D$127),IF($F$1=1.3%,LOOKUP($A7,SMPT!$B$6:$B$127,SMPT!$E$6:$E$127),LOOKUP($A7,SMPT!$B$6:$B$127,SMPT!$F$6:$F$127))))</f>
        <v>1187.6740642583554</v>
      </c>
      <c r="E7" s="58">
        <f t="shared" si="3"/>
        <v>6.8259590331362086E-2</v>
      </c>
      <c r="F7" s="56">
        <f>IF($F$1=1.8%,LOOKUP($A7,SMIC!$B$6:$B$125,SMIC!$C$6:$C$125),IF($F$1=1.5%,LOOKUP($A7,SMIC!$B$6:$B$125,SMIC!$D$6:$D$125),IF($F$1=1.3%,LOOKUP($A7,SMIC!$B$6:$B$125,SMIC!$E$6:$E$125),LOOKUP($A7,SMIC!$B$6:$B$125,SMIC!$F$6:$F$125))))</f>
        <v>492.34136024744851</v>
      </c>
      <c r="G7" s="153">
        <f t="shared" si="1"/>
        <v>3.2336100377745203E-2</v>
      </c>
      <c r="H7" s="357">
        <f t="shared" si="4"/>
        <v>0.10000000000000009</v>
      </c>
      <c r="I7" s="666">
        <v>1959</v>
      </c>
      <c r="J7" s="662"/>
      <c r="K7" s="669">
        <f t="shared" si="2"/>
        <v>2.1299999999999999E-2</v>
      </c>
      <c r="L7" s="669">
        <v>1.38E-2</v>
      </c>
      <c r="M7" s="669">
        <v>7.4999999999999997E-3</v>
      </c>
      <c r="N7" s="668">
        <f t="shared" si="5"/>
        <v>0</v>
      </c>
      <c r="O7" s="668">
        <f>IF(Simulation!$D$43="Oui",$Q7,0)</f>
        <v>0</v>
      </c>
      <c r="P7" s="668">
        <f>IF(Simulation!$D$43="Oui",$R7,0)</f>
        <v>0</v>
      </c>
      <c r="Q7" s="677">
        <v>0</v>
      </c>
      <c r="R7" s="677">
        <v>0</v>
      </c>
      <c r="S7" s="56">
        <f>IF($F$1=1.8%,LOOKUP($A7,Sal_valid!$B$6:$B$127,Sal_valid!$C$6:$C$127),IF($F$1=1.5%,LOOKUP($A7,Sal_valid!$B$6:$B$127,Sal_valid!$D$6:$D$127),IF($F$1=1.3%,LOOKUP($A7,Sal_valid!$B$6:$B$127,Sal_valid!$E$6:$E$127),LOOKUP($A7,Sal_valid!$B$6:$B$127,Sal_valid!$F$6:$F$127))))</f>
        <v>27.585649669109408</v>
      </c>
      <c r="T7" s="73">
        <f>Revalo_RB!$D19</f>
        <v>7.6958758539259708E-2</v>
      </c>
      <c r="U7" s="73">
        <f>Revalo_RB!$H19</f>
        <v>0</v>
      </c>
      <c r="V7" s="56">
        <f>IF($F$1=1.8%,LOOKUP($A7,PSS!$B$6:$B$127,PSS!$C$6:$C$127),IF($F$1=1.5%,LOOKUP($A7,PSS!$B$6:$B$127,PSS!$D$6:$D$127),IF($F$1=1.3%,LOOKUP($A7,PSS!$B$6:$B$127,PSS!$E$6:$E$127),LOOKUP($A7,PSS!$B$6:$B$127,PSS!$F$6:$F$127))))</f>
        <v>1006.1635137669085</v>
      </c>
      <c r="W7" s="56"/>
      <c r="X7" s="56"/>
      <c r="Y7" s="56"/>
      <c r="Z7" s="56"/>
      <c r="AA7" s="337"/>
      <c r="AB7" s="666">
        <v>1959</v>
      </c>
      <c r="AC7" s="672">
        <v>0.04</v>
      </c>
      <c r="AD7" s="673">
        <v>2.4E-2</v>
      </c>
      <c r="AE7" s="673">
        <v>1.6E-2</v>
      </c>
      <c r="AF7" s="668">
        <v>0.08</v>
      </c>
      <c r="AG7" s="668">
        <v>0.06</v>
      </c>
      <c r="AH7" s="668">
        <v>0.02</v>
      </c>
      <c r="AI7" s="337"/>
      <c r="AJ7" s="667">
        <v>1</v>
      </c>
      <c r="AK7" s="667">
        <v>0.85</v>
      </c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663"/>
      <c r="BB7" s="686">
        <v>0.21648000000000001</v>
      </c>
      <c r="BC7" s="683">
        <v>0.48725754889421108</v>
      </c>
      <c r="BD7" s="664"/>
      <c r="BE7" s="687">
        <v>2.8965000000000001E-2</v>
      </c>
      <c r="BF7" s="664"/>
      <c r="BG7" s="664"/>
      <c r="BH7" s="687">
        <v>2.9727558361295026E-2</v>
      </c>
      <c r="BI7" s="664"/>
      <c r="BJ7" s="661"/>
      <c r="BK7" s="366"/>
      <c r="BL7" s="666">
        <v>1959</v>
      </c>
      <c r="BM7" s="660"/>
      <c r="BN7" s="661"/>
      <c r="BO7" s="79"/>
      <c r="BP7" s="79"/>
      <c r="BQ7" s="79"/>
      <c r="BR7" s="79"/>
      <c r="BS7" s="79"/>
      <c r="BT7" s="79"/>
      <c r="BU7" s="366"/>
      <c r="BV7" s="666">
        <v>1959</v>
      </c>
      <c r="BW7" s="660"/>
      <c r="BX7" s="661"/>
      <c r="BY7" s="79"/>
      <c r="BZ7" s="79"/>
      <c r="CA7" s="79"/>
      <c r="CB7" s="79"/>
      <c r="CC7" s="79"/>
      <c r="CD7" s="79"/>
      <c r="CE7" s="665"/>
      <c r="CG7" s="666">
        <v>1959</v>
      </c>
      <c r="CH7" s="676"/>
      <c r="CI7" s="665"/>
      <c r="CJ7" s="336"/>
      <c r="CK7" s="336"/>
      <c r="CL7" s="697">
        <v>5.2499999999999998E-2</v>
      </c>
      <c r="CM7" s="673">
        <v>2E-3</v>
      </c>
      <c r="CN7" s="673"/>
      <c r="CO7" s="337"/>
    </row>
    <row r="8" spans="1:93" s="361" customFormat="1" hidden="1" x14ac:dyDescent="0.25">
      <c r="A8" s="666">
        <v>1960</v>
      </c>
      <c r="B8" s="54">
        <f>IF($F$1=1.8%,LOOKUP($A8,Prix!B$6:B$127,Prix!$G$6:$G$127),IF($F$1=1.5%,LOOKUP($A8,Prix!B$6:B$127,Prix!$H$6:$H$127),IF($F$1=1.3%,LOOKUP($A8,Prix!B$6:B$127,Prix!$I$6:$I$127),LOOKUP($A8,Prix!B$6:B$127,Prix!$J$6:$J$127))))</f>
        <v>3.6598493003229482E-2</v>
      </c>
      <c r="C8" s="7">
        <f t="shared" si="0"/>
        <v>8.8704287214742716E-2</v>
      </c>
      <c r="D8" s="56">
        <f>IF($F$1=1.8%,LOOKUP($A8,SMPT!$B$6:$B$127,SMPT!$C$6:$C$127),IF($F$1=1.5%,LOOKUP($A8,SMPT!$B$6:$B$127,SMPT!$D$6:$D$127),IF($F$1=1.3%,LOOKUP($A8,SMPT!$B$6:$B$127,SMPT!$E$6:$E$127),LOOKUP($A8,SMPT!$B$6:$B$127,SMPT!$F$6:$F$127))))</f>
        <v>1305.7443221033118</v>
      </c>
      <c r="E8" s="58">
        <f t="shared" si="3"/>
        <v>9.9413013551563401E-2</v>
      </c>
      <c r="F8" s="56">
        <f>IF($F$1=1.8%,LOOKUP($A8,SMIC!$B$6:$B$125,SMIC!$C$6:$C$125),IF($F$1=1.5%,LOOKUP($A8,SMIC!$B$6:$B$125,SMIC!$D$6:$D$125),IF($F$1=1.3%,LOOKUP($A8,SMIC!$B$6:$B$125,SMIC!$E$6:$E$125),LOOKUP($A8,SMIC!$B$6:$B$125,SMIC!$F$6:$F$125))))</f>
        <v>510.77511736470865</v>
      </c>
      <c r="G8" s="153">
        <f t="shared" si="1"/>
        <v>3.5550729562802703E-2</v>
      </c>
      <c r="H8" s="357">
        <f t="shared" si="4"/>
        <v>3.6562344759065946E-2</v>
      </c>
      <c r="I8" s="666">
        <v>1960</v>
      </c>
      <c r="J8" s="662"/>
      <c r="K8" s="669">
        <f t="shared" si="2"/>
        <v>2.1299999999999999E-2</v>
      </c>
      <c r="L8" s="669">
        <v>1.38E-2</v>
      </c>
      <c r="M8" s="669">
        <v>7.4999999999999997E-3</v>
      </c>
      <c r="N8" s="668">
        <f t="shared" si="5"/>
        <v>0</v>
      </c>
      <c r="O8" s="668">
        <f>IF(Simulation!$D$43="Oui",$Q8,0)</f>
        <v>0</v>
      </c>
      <c r="P8" s="668">
        <f>IF(Simulation!$D$43="Oui",$R8,0)</f>
        <v>0</v>
      </c>
      <c r="Q8" s="677">
        <v>0</v>
      </c>
      <c r="R8" s="677">
        <v>0</v>
      </c>
      <c r="S8" s="56">
        <f>IF($F$1=1.8%,LOOKUP($A8,Sal_valid!$B$6:$B$127,Sal_valid!$C$6:$C$127),IF($F$1=1.5%,LOOKUP($A8,Sal_valid!$B$6:$B$127,Sal_valid!$D$6:$D$127),IF($F$1=1.3%,LOOKUP($A8,Sal_valid!$B$6:$B$127,Sal_valid!$E$6:$E$127),LOOKUP($A8,Sal_valid!$B$6:$B$127,Sal_valid!$F$6:$F$127))))</f>
        <v>27.585649669109408</v>
      </c>
      <c r="T8" s="73">
        <f>Revalo_RB!$D20</f>
        <v>0.15010427275813565</v>
      </c>
      <c r="U8" s="73">
        <f>Revalo_RB!$H20</f>
        <v>0</v>
      </c>
      <c r="V8" s="56">
        <f>IF($F$1=1.8%,LOOKUP($A8,PSS!$B$6:$B$127,PSS!$C$6:$C$127),IF($F$1=1.5%,LOOKUP($A8,PSS!$B$6:$B$127,PSS!$D$6:$D$127),IF($F$1=1.3%,LOOKUP($A8,PSS!$B$6:$B$127,PSS!$E$6:$E$127),LOOKUP($A8,PSS!$B$6:$B$127,PSS!$F$6:$F$127))))</f>
        <v>1042.9512110412475</v>
      </c>
      <c r="W8" s="56"/>
      <c r="X8" s="56"/>
      <c r="Y8" s="56"/>
      <c r="Z8" s="56"/>
      <c r="AA8" s="337"/>
      <c r="AB8" s="666">
        <v>1960</v>
      </c>
      <c r="AC8" s="672">
        <v>0.04</v>
      </c>
      <c r="AD8" s="673">
        <v>2.4E-2</v>
      </c>
      <c r="AE8" s="673">
        <v>1.6E-2</v>
      </c>
      <c r="AF8" s="668">
        <v>0.08</v>
      </c>
      <c r="AG8" s="668">
        <v>0.06</v>
      </c>
      <c r="AH8" s="668">
        <v>0.02</v>
      </c>
      <c r="AI8" s="337"/>
      <c r="AJ8" s="667">
        <v>1</v>
      </c>
      <c r="AK8" s="667">
        <v>0.85</v>
      </c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663"/>
      <c r="BB8" s="686">
        <v>0.23172000000000001</v>
      </c>
      <c r="BC8" s="683">
        <v>0.52945543686552621</v>
      </c>
      <c r="BD8" s="664"/>
      <c r="BE8" s="687">
        <v>3.2014000000000001E-2</v>
      </c>
      <c r="BF8" s="664"/>
      <c r="BG8" s="664"/>
      <c r="BH8" s="687">
        <v>3.2776538706043232E-2</v>
      </c>
      <c r="BI8" s="664"/>
      <c r="BJ8" s="661"/>
      <c r="BK8" s="366"/>
      <c r="BL8" s="666">
        <v>1960</v>
      </c>
      <c r="BM8" s="660"/>
      <c r="BN8" s="661"/>
      <c r="BO8" s="79"/>
      <c r="BP8" s="79"/>
      <c r="BQ8" s="79"/>
      <c r="BR8" s="79"/>
      <c r="BS8" s="79"/>
      <c r="BT8" s="79"/>
      <c r="BU8" s="366"/>
      <c r="BV8" s="666">
        <v>1960</v>
      </c>
      <c r="BW8" s="660"/>
      <c r="BX8" s="661"/>
      <c r="BY8" s="79"/>
      <c r="BZ8" s="79"/>
      <c r="CA8" s="79"/>
      <c r="CB8" s="79"/>
      <c r="CC8" s="79"/>
      <c r="CD8" s="79"/>
      <c r="CE8" s="665"/>
      <c r="CG8" s="666">
        <v>1960</v>
      </c>
      <c r="CH8" s="676"/>
      <c r="CI8" s="665"/>
      <c r="CJ8" s="336"/>
      <c r="CK8" s="336"/>
      <c r="CL8" s="697">
        <v>5.2499999999999998E-2</v>
      </c>
      <c r="CM8" s="673">
        <v>2E-3</v>
      </c>
      <c r="CN8" s="673"/>
      <c r="CO8" s="337"/>
    </row>
    <row r="9" spans="1:93" s="361" customFormat="1" hidden="1" x14ac:dyDescent="0.25">
      <c r="A9" s="666">
        <v>1961</v>
      </c>
      <c r="B9" s="54">
        <f>IF($F$1=1.8%,LOOKUP($A9,Prix!B$6:B$127,Prix!$G$6:$G$127),IF($F$1=1.5%,LOOKUP($A9,Prix!B$6:B$127,Prix!$H$6:$H$127),IF($F$1=1.3%,LOOKUP($A9,Prix!B$6:B$127,Prix!$I$6:$I$127),LOOKUP($A9,Prix!B$6:B$127,Prix!$J$6:$J$127))))</f>
        <v>3.3229491173416115E-2</v>
      </c>
      <c r="C9" s="7">
        <f t="shared" si="0"/>
        <v>9.195073044972793E-2</v>
      </c>
      <c r="D9" s="56">
        <f>IF($F$1=1.8%,LOOKUP($A9,SMPT!$B$6:$B$127,SMPT!$C$6:$C$127),IF($F$1=1.5%,LOOKUP($A9,SMPT!$B$6:$B$127,SMPT!$D$6:$D$127),IF($F$1=1.3%,LOOKUP($A9,SMPT!$B$6:$B$127,SMPT!$E$6:$E$127),LOOKUP($A9,SMPT!$B$6:$B$127,SMPT!$F$6:$F$127))))</f>
        <v>1400.3447256027798</v>
      </c>
      <c r="E9" s="58">
        <f t="shared" si="3"/>
        <v>7.2449408278555172E-2</v>
      </c>
      <c r="F9" s="56">
        <f>IF($F$1=1.8%,LOOKUP($A9,SMIC!$B$6:$B$125,SMIC!$C$6:$C$125),IF($F$1=1.5%,LOOKUP($A9,SMIC!$B$6:$B$125,SMIC!$D$6:$D$125),IF($F$1=1.3%,LOOKUP($A9,SMIC!$B$6:$B$125,SMIC!$E$6:$E$125),LOOKUP($A9,SMIC!$B$6:$B$125,SMIC!$F$6:$F$125))))</f>
        <v>520.8511475056805</v>
      </c>
      <c r="G9" s="153">
        <f t="shared" si="1"/>
        <v>3.812635888349869E-2</v>
      </c>
      <c r="H9" s="357">
        <f t="shared" si="4"/>
        <v>0.18458421578526529</v>
      </c>
      <c r="I9" s="666">
        <v>1961</v>
      </c>
      <c r="J9" s="662"/>
      <c r="K9" s="669">
        <f t="shared" si="2"/>
        <v>2.1299999999999999E-2</v>
      </c>
      <c r="L9" s="669">
        <v>1.38E-2</v>
      </c>
      <c r="M9" s="669">
        <v>7.4999999999999997E-3</v>
      </c>
      <c r="N9" s="668">
        <f t="shared" si="5"/>
        <v>0</v>
      </c>
      <c r="O9" s="668">
        <f>IF(Simulation!$D$43="Oui",$Q9,0)</f>
        <v>0</v>
      </c>
      <c r="P9" s="668">
        <f>IF(Simulation!$D$43="Oui",$R9,0)</f>
        <v>0</v>
      </c>
      <c r="Q9" s="677">
        <v>0</v>
      </c>
      <c r="R9" s="677">
        <v>0</v>
      </c>
      <c r="S9" s="56">
        <f>IF($F$1=1.8%,LOOKUP($A9,Sal_valid!$B$6:$B$127,Sal_valid!$C$6:$C$127),IF($F$1=1.5%,LOOKUP($A9,Sal_valid!$B$6:$B$127,Sal_valid!$D$6:$D$127),IF($F$1=1.3%,LOOKUP($A9,Sal_valid!$B$6:$B$127,Sal_valid!$E$6:$E$127),LOOKUP($A9,Sal_valid!$B$6:$B$127,Sal_valid!$F$6:$F$127))))</f>
        <v>27.585649669109408</v>
      </c>
      <c r="T9" s="73">
        <f>Revalo_RB!$D21</f>
        <v>0.16000000000000014</v>
      </c>
      <c r="U9" s="73">
        <f>Revalo_RB!$H21</f>
        <v>0.26985598952651113</v>
      </c>
      <c r="V9" s="56">
        <f>IF($F$1=1.8%,LOOKUP($A9,PSS!$B$6:$B$127,PSS!$C$6:$C$127),IF($F$1=1.5%,LOOKUP($A9,PSS!$B$6:$B$127,PSS!$D$6:$D$127),IF($F$1=1.3%,LOOKUP($A9,PSS!$B$6:$B$127,PSS!$E$6:$E$127),LOOKUP($A9,PSS!$B$6:$B$127,PSS!$F$6:$F$127))))</f>
        <v>1235.4635424335888</v>
      </c>
      <c r="W9" s="56"/>
      <c r="X9" s="56"/>
      <c r="Y9" s="56"/>
      <c r="Z9" s="56"/>
      <c r="AA9" s="337"/>
      <c r="AB9" s="666">
        <v>1961</v>
      </c>
      <c r="AC9" s="672">
        <v>0.04</v>
      </c>
      <c r="AD9" s="673">
        <v>2.4E-2</v>
      </c>
      <c r="AE9" s="673">
        <v>1.6E-2</v>
      </c>
      <c r="AF9" s="668">
        <v>0.08</v>
      </c>
      <c r="AG9" s="668">
        <v>0.06</v>
      </c>
      <c r="AH9" s="668">
        <v>0.02</v>
      </c>
      <c r="AI9" s="337"/>
      <c r="AJ9" s="667">
        <v>1</v>
      </c>
      <c r="AK9" s="667">
        <v>0.9</v>
      </c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/>
      <c r="AY9" s="337"/>
      <c r="AZ9" s="337"/>
      <c r="BA9" s="663"/>
      <c r="BB9" s="686">
        <v>0.25763999999999998</v>
      </c>
      <c r="BC9" s="683">
        <v>0.5716533248368415</v>
      </c>
      <c r="BD9" s="664"/>
      <c r="BE9" s="687">
        <v>3.5062999999999997E-2</v>
      </c>
      <c r="BF9" s="687">
        <v>7.4227426492895113E-2</v>
      </c>
      <c r="BG9" s="664"/>
      <c r="BH9" s="687">
        <v>3.5063273964604388E-2</v>
      </c>
      <c r="BI9" s="687">
        <v>7.6663016145064669E-2</v>
      </c>
      <c r="BJ9" s="661"/>
      <c r="BK9" s="366"/>
      <c r="BL9" s="666">
        <v>1961</v>
      </c>
      <c r="BM9" s="660"/>
      <c r="BN9" s="661"/>
      <c r="BO9" s="79"/>
      <c r="BP9" s="79"/>
      <c r="BQ9" s="79"/>
      <c r="BR9" s="79"/>
      <c r="BS9" s="79"/>
      <c r="BT9" s="79"/>
      <c r="BU9" s="366"/>
      <c r="BV9" s="666">
        <v>1961</v>
      </c>
      <c r="BW9" s="660"/>
      <c r="BX9" s="661"/>
      <c r="BY9" s="79"/>
      <c r="BZ9" s="79"/>
      <c r="CA9" s="79"/>
      <c r="CB9" s="79"/>
      <c r="CC9" s="79"/>
      <c r="CD9" s="79"/>
      <c r="CE9" s="665"/>
      <c r="CG9" s="666">
        <v>1961</v>
      </c>
      <c r="CH9" s="676"/>
      <c r="CI9" s="665"/>
      <c r="CJ9" s="336"/>
      <c r="CK9" s="336"/>
      <c r="CL9" s="697">
        <v>5.2499999999999998E-2</v>
      </c>
      <c r="CM9" s="673">
        <v>2E-3</v>
      </c>
      <c r="CN9" s="673"/>
      <c r="CO9" s="337"/>
    </row>
    <row r="10" spans="1:93" s="361" customFormat="1" hidden="1" x14ac:dyDescent="0.25">
      <c r="A10" s="666">
        <v>1962</v>
      </c>
      <c r="B10" s="54">
        <f>IF($F$1=1.8%,LOOKUP($A10,Prix!B$6:B$127,Prix!$G$6:$G$127),IF($F$1=1.5%,LOOKUP($A10,Prix!B$6:B$127,Prix!$H$6:$H$127),IF($F$1=1.3%,LOOKUP($A10,Prix!B$6:B$127,Prix!$I$6:$I$127),LOOKUP($A10,Prix!B$6:B$127,Prix!$J$6:$J$127))))</f>
        <v>4.7236180904522751E-2</v>
      </c>
      <c r="C10" s="7">
        <f t="shared" si="0"/>
        <v>9.5006206435596333E-2</v>
      </c>
      <c r="D10" s="56">
        <f>IF($F$1=1.8%,LOOKUP($A10,SMPT!$B$6:$B$127,SMPT!$C$6:$C$127),IF($F$1=1.5%,LOOKUP($A10,SMPT!$B$6:$B$127,SMPT!$D$6:$D$127),IF($F$1=1.3%,LOOKUP($A10,SMPT!$B$6:$B$127,SMPT!$E$6:$E$127),LOOKUP($A10,SMPT!$B$6:$B$127,SMPT!$F$6:$F$127))))</f>
        <v>1588.1014007121616</v>
      </c>
      <c r="E10" s="58">
        <f t="shared" si="3"/>
        <v>0.13407889620076352</v>
      </c>
      <c r="F10" s="56">
        <f>IF($F$1=1.8%,LOOKUP($A10,SMIC!$B$6:$B$125,SMIC!$C$6:$C$125),IF($F$1=1.5%,LOOKUP($A10,SMIC!$B$6:$B$125,SMIC!$D$6:$D$125),IF($F$1=1.3%,LOOKUP($A10,SMIC!$B$6:$B$125,SMIC!$E$6:$E$125),LOOKUP($A10,SMIC!$B$6:$B$125,SMIC!$F$6:$F$125))))</f>
        <v>546.62784548962156</v>
      </c>
      <c r="G10" s="153">
        <f t="shared" si="1"/>
        <v>4.3238298998752374E-2</v>
      </c>
      <c r="H10" s="357">
        <f t="shared" si="4"/>
        <v>0.18458417849898567</v>
      </c>
      <c r="I10" s="666">
        <v>1962</v>
      </c>
      <c r="J10" s="662"/>
      <c r="K10" s="669">
        <f t="shared" si="2"/>
        <v>2.1299999999999999E-2</v>
      </c>
      <c r="L10" s="669">
        <v>1.38E-2</v>
      </c>
      <c r="M10" s="669">
        <v>7.4999999999999997E-3</v>
      </c>
      <c r="N10" s="668">
        <f t="shared" si="5"/>
        <v>0</v>
      </c>
      <c r="O10" s="668">
        <f>IF(Simulation!$D$43="Oui",$Q10,0)</f>
        <v>0</v>
      </c>
      <c r="P10" s="668">
        <f>IF(Simulation!$D$43="Oui",$R10,0)</f>
        <v>0</v>
      </c>
      <c r="Q10" s="677">
        <v>0</v>
      </c>
      <c r="R10" s="677">
        <v>0</v>
      </c>
      <c r="S10" s="56">
        <f>IF($F$1=1.8%,LOOKUP($A10,Sal_valid!$B$6:$B$127,Sal_valid!$C$6:$C$127),IF($F$1=1.5%,LOOKUP($A10,Sal_valid!$B$6:$B$127,Sal_valid!$D$6:$D$127),IF($F$1=1.3%,LOOKUP($A10,Sal_valid!$B$6:$B$127,Sal_valid!$E$6:$E$127),LOOKUP($A10,Sal_valid!$B$6:$B$127,Sal_valid!$F$6:$F$127))))</f>
        <v>27.585649669109408</v>
      </c>
      <c r="T10" s="73">
        <f>Revalo_RB!$D22</f>
        <v>0.120390797352663</v>
      </c>
      <c r="U10" s="73">
        <f>Revalo_RB!$H22</f>
        <v>0.20007302719188957</v>
      </c>
      <c r="V10" s="56">
        <f>IF($F$1=1.8%,LOOKUP($A10,PSS!$B$6:$B$127,PSS!$C$6:$C$127),IF($F$1=1.5%,LOOKUP($A10,PSS!$B$6:$B$127,PSS!$D$6:$D$127),IF($F$1=1.3%,LOOKUP($A10,PSS!$B$6:$B$127,PSS!$E$6:$E$127),LOOKUP($A10,PSS!$B$6:$B$127,PSS!$F$6:$F$127))))</f>
        <v>1463.5105654791396</v>
      </c>
      <c r="W10" s="56"/>
      <c r="X10" s="56"/>
      <c r="Y10" s="56"/>
      <c r="Z10" s="56"/>
      <c r="AA10" s="337"/>
      <c r="AB10" s="666">
        <v>1962</v>
      </c>
      <c r="AC10" s="672">
        <v>0.04</v>
      </c>
      <c r="AD10" s="673">
        <v>2.4E-2</v>
      </c>
      <c r="AE10" s="673">
        <v>1.6E-2</v>
      </c>
      <c r="AF10" s="668">
        <v>0.08</v>
      </c>
      <c r="AG10" s="668">
        <v>0.06</v>
      </c>
      <c r="AH10" s="668">
        <v>0.02</v>
      </c>
      <c r="AI10" s="337"/>
      <c r="AJ10" s="667">
        <v>1</v>
      </c>
      <c r="AK10" s="667">
        <v>0.9</v>
      </c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  <c r="AZ10" s="337"/>
      <c r="BA10" s="663"/>
      <c r="BB10" s="686">
        <v>0.28355999999999998</v>
      </c>
      <c r="BC10" s="683">
        <v>0.62196150052518684</v>
      </c>
      <c r="BD10" s="664"/>
      <c r="BE10" s="687">
        <v>3.8112E-2</v>
      </c>
      <c r="BF10" s="687">
        <v>8.0767489332380024E-2</v>
      </c>
      <c r="BG10" s="664"/>
      <c r="BH10" s="687">
        <v>3.8493376852446123E-2</v>
      </c>
      <c r="BI10" s="687">
        <v>8.133946012991361E-2</v>
      </c>
      <c r="BJ10" s="661"/>
      <c r="BK10" s="366"/>
      <c r="BL10" s="666">
        <v>1962</v>
      </c>
      <c r="BM10" s="660"/>
      <c r="BN10" s="661"/>
      <c r="BO10" s="79"/>
      <c r="BP10" s="79"/>
      <c r="BQ10" s="79"/>
      <c r="BR10" s="79"/>
      <c r="BS10" s="79"/>
      <c r="BT10" s="79"/>
      <c r="BU10" s="366"/>
      <c r="BV10" s="666">
        <v>1962</v>
      </c>
      <c r="BW10" s="660"/>
      <c r="BX10" s="661"/>
      <c r="BY10" s="79"/>
      <c r="BZ10" s="79"/>
      <c r="CA10" s="79"/>
      <c r="CB10" s="79"/>
      <c r="CC10" s="79"/>
      <c r="CD10" s="79"/>
      <c r="CE10" s="665"/>
      <c r="CG10" s="666">
        <v>1962</v>
      </c>
      <c r="CH10" s="676"/>
      <c r="CI10" s="665"/>
      <c r="CJ10" s="336"/>
      <c r="CK10" s="336"/>
      <c r="CL10" s="697">
        <v>5.2499999999999998E-2</v>
      </c>
      <c r="CM10" s="673">
        <v>5.0000000000000001E-4</v>
      </c>
      <c r="CN10" s="673"/>
      <c r="CO10" s="337"/>
    </row>
    <row r="11" spans="1:93" s="361" customFormat="1" hidden="1" x14ac:dyDescent="0.25">
      <c r="A11" s="666">
        <v>1963</v>
      </c>
      <c r="B11" s="54">
        <f>IF($F$1=1.8%,LOOKUP($A11,Prix!B$6:B$127,Prix!$G$6:$G$127),IF($F$1=1.5%,LOOKUP($A11,Prix!B$6:B$127,Prix!$H$6:$H$127),IF($F$1=1.3%,LOOKUP($A11,Prix!B$6:B$127,Prix!$I$6:$I$127),LOOKUP($A11,Prix!B$6:B$127,Prix!$J$6:$J$127))))</f>
        <v>4.7984644913627639E-2</v>
      </c>
      <c r="C11" s="7">
        <f t="shared" si="0"/>
        <v>9.9493936789840601E-2</v>
      </c>
      <c r="D11" s="56">
        <f>IF($F$1=1.8%,LOOKUP($A11,SMPT!$B$6:$B$127,SMPT!$C$6:$C$127),IF($F$1=1.5%,LOOKUP($A11,SMPT!$B$6:$B$127,SMPT!$D$6:$D$127),IF($F$1=1.3%,LOOKUP($A11,SMPT!$B$6:$B$127,SMPT!$E$6:$E$127),LOOKUP($A11,SMPT!$B$6:$B$127,SMPT!$F$6:$F$127))))</f>
        <v>1747.3185271949785</v>
      </c>
      <c r="E11" s="58">
        <f t="shared" si="3"/>
        <v>0.10025627230819034</v>
      </c>
      <c r="F11" s="56">
        <f>IF($F$1=1.8%,LOOKUP($A11,SMIC!$B$6:$B$125,SMIC!$C$6:$C$125),IF($F$1=1.5%,LOOKUP($A11,SMIC!$B$6:$B$125,SMIC!$D$6:$D$125),IF($F$1=1.3%,LOOKUP($A11,SMIC!$B$6:$B$125,SMIC!$E$6:$E$125),LOOKUP($A11,SMIC!$B$6:$B$125,SMIC!$F$6:$F$125))))</f>
        <v>584.82029215872637</v>
      </c>
      <c r="G11" s="153">
        <f t="shared" si="1"/>
        <v>4.7573209677314245E-2</v>
      </c>
      <c r="H11" s="357">
        <f t="shared" si="4"/>
        <v>8.7499999999999911E-2</v>
      </c>
      <c r="I11" s="666">
        <v>1963</v>
      </c>
      <c r="J11" s="662"/>
      <c r="K11" s="669">
        <f>L11+M11</f>
        <v>2.1299999999999999E-2</v>
      </c>
      <c r="L11" s="669">
        <v>1.38E-2</v>
      </c>
      <c r="M11" s="669">
        <v>7.4999999999999997E-3</v>
      </c>
      <c r="N11" s="668">
        <f>O11+P11</f>
        <v>0</v>
      </c>
      <c r="O11" s="668">
        <f>IF(Simulation!$D$43="Oui",$Q11,0)</f>
        <v>0</v>
      </c>
      <c r="P11" s="668">
        <f>IF(Simulation!$D$43="Oui",$R11,0)</f>
        <v>0</v>
      </c>
      <c r="Q11" s="677">
        <v>0</v>
      </c>
      <c r="R11" s="677">
        <v>0</v>
      </c>
      <c r="S11" s="56">
        <f>IF($F$1=1.8%,LOOKUP($A11,Sal_valid!$B$6:$B$127,Sal_valid!$C$6:$C$127),IF($F$1=1.5%,LOOKUP($A11,Sal_valid!$B$6:$B$127,Sal_valid!$D$6:$D$127),IF($F$1=1.3%,LOOKUP($A11,Sal_valid!$B$6:$B$127,Sal_valid!$E$6:$E$127),LOOKUP($A11,Sal_valid!$B$6:$B$127,Sal_valid!$F$6:$F$127))))</f>
        <v>30.489803447482075</v>
      </c>
      <c r="T11" s="73">
        <f>Revalo_RB!$D23</f>
        <v>0.11021693491952433</v>
      </c>
      <c r="U11" s="73">
        <f>Revalo_RB!$H23</f>
        <v>0.10858554221180183</v>
      </c>
      <c r="V11" s="56">
        <f>IF($F$1=1.8%,LOOKUP($A11,PSS!$B$6:$B$127,PSS!$C$6:$C$127),IF($F$1=1.5%,LOOKUP($A11,PSS!$B$6:$B$127,PSS!$D$6:$D$127),IF($F$1=1.3%,LOOKUP($A11,PSS!$B$6:$B$127,PSS!$E$6:$E$127),LOOKUP($A11,PSS!$B$6:$B$127,PSS!$F$6:$F$127))))</f>
        <v>1591.5677399585643</v>
      </c>
      <c r="W11" s="56"/>
      <c r="X11" s="56"/>
      <c r="Y11" s="56"/>
      <c r="Z11" s="56"/>
      <c r="AA11" s="337"/>
      <c r="AB11" s="666">
        <v>1963</v>
      </c>
      <c r="AC11" s="672">
        <v>0.04</v>
      </c>
      <c r="AD11" s="673">
        <v>2.4E-2</v>
      </c>
      <c r="AE11" s="673">
        <v>1.6E-2</v>
      </c>
      <c r="AF11" s="668">
        <v>0.08</v>
      </c>
      <c r="AG11" s="668">
        <v>0.06</v>
      </c>
      <c r="AH11" s="668">
        <v>0.02</v>
      </c>
      <c r="AI11" s="337"/>
      <c r="AJ11" s="667">
        <v>1</v>
      </c>
      <c r="AK11" s="667">
        <v>0.9</v>
      </c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663"/>
      <c r="BB11" s="686">
        <v>0.30336999999999997</v>
      </c>
      <c r="BC11" s="683">
        <v>0.67606565674274388</v>
      </c>
      <c r="BD11" s="664"/>
      <c r="BE11" s="687">
        <v>3.8873999999999999E-2</v>
      </c>
      <c r="BF11" s="687">
        <v>8.6469082577059181E-2</v>
      </c>
      <c r="BG11" s="664"/>
      <c r="BH11" s="687">
        <v>4.0017867024820228E-2</v>
      </c>
      <c r="BI11" s="687">
        <v>8.7114561799137472E-2</v>
      </c>
      <c r="BJ11" s="661"/>
      <c r="BK11" s="366"/>
      <c r="BL11" s="666">
        <v>1963</v>
      </c>
      <c r="BM11" s="660"/>
      <c r="BN11" s="661"/>
      <c r="BO11" s="79"/>
      <c r="BP11" s="79"/>
      <c r="BQ11" s="79"/>
      <c r="BR11" s="79"/>
      <c r="BS11" s="79"/>
      <c r="BT11" s="79"/>
      <c r="BU11" s="366"/>
      <c r="BV11" s="666">
        <v>1963</v>
      </c>
      <c r="BW11" s="660"/>
      <c r="BX11" s="661"/>
      <c r="BY11" s="79"/>
      <c r="BZ11" s="79"/>
      <c r="CA11" s="79"/>
      <c r="CB11" s="79"/>
      <c r="CC11" s="79"/>
      <c r="CD11" s="79"/>
      <c r="CE11" s="665"/>
      <c r="CG11" s="666">
        <v>1963</v>
      </c>
      <c r="CH11" s="676"/>
      <c r="CI11" s="665"/>
      <c r="CJ11" s="336"/>
      <c r="CK11" s="336"/>
      <c r="CL11" s="697">
        <v>5.2499999999999998E-2</v>
      </c>
      <c r="CM11" s="673">
        <v>5.0000000000000001E-4</v>
      </c>
      <c r="CN11" s="673"/>
      <c r="CO11" s="337"/>
    </row>
    <row r="12" spans="1:93" s="361" customFormat="1" hidden="1" x14ac:dyDescent="0.25">
      <c r="A12" s="666">
        <v>1964</v>
      </c>
      <c r="B12" s="54">
        <f>IF($F$1=1.8%,LOOKUP($A12,Prix!B$6:B$127,Prix!$G$6:$G$127),IF($F$1=1.5%,LOOKUP($A12,Prix!B$6:B$127,Prix!$H$6:$H$127),IF($F$1=1.3%,LOOKUP($A12,Prix!B$6:B$127,Prix!$I$6:$I$127),LOOKUP($A12,Prix!B$6:B$127,Prix!$J$6:$J$127))))</f>
        <v>3.4798534798534675E-2</v>
      </c>
      <c r="C12" s="7">
        <f t="shared" si="0"/>
        <v>0.10426811801776001</v>
      </c>
      <c r="D12" s="56">
        <f>IF($F$1=1.8%,LOOKUP($A12,SMPT!$B$6:$B$127,SMPT!$C$6:$C$127),IF($F$1=1.5%,LOOKUP($A12,SMPT!$B$6:$B$127,SMPT!$D$6:$D$127),IF($F$1=1.3%,LOOKUP($A12,SMPT!$B$6:$B$127,SMPT!$E$6:$E$127),LOOKUP($A12,SMPT!$B$6:$B$127,SMPT!$F$6:$F$127))))</f>
        <v>1883.8499322257469</v>
      </c>
      <c r="E12" s="58">
        <f t="shared" si="3"/>
        <v>7.8137673758857273E-2</v>
      </c>
      <c r="F12" s="56">
        <f>IF($F$1=1.8%,LOOKUP($A12,SMIC!$B$6:$B$125,SMIC!$C$6:$C$125),IF($F$1=1.5%,LOOKUP($A12,SMIC!$B$6:$B$125,SMIC!$D$6:$D$125),IF($F$1=1.3%,LOOKUP($A12,SMIC!$B$6:$B$125,SMIC!$E$6:$E$125),LOOKUP($A12,SMIC!$B$6:$B$125,SMIC!$F$6:$F$125))))</f>
        <v>600.55689209469472</v>
      </c>
      <c r="G12" s="153">
        <f t="shared" si="1"/>
        <v>5.1290469614741936E-2</v>
      </c>
      <c r="H12" s="357">
        <f t="shared" si="4"/>
        <v>9.1954022988505857E-2</v>
      </c>
      <c r="I12" s="666">
        <v>1964</v>
      </c>
      <c r="J12" s="662"/>
      <c r="K12" s="669">
        <f t="shared" ref="K12:K64" si="6">L12+M12</f>
        <v>2.1299999999999999E-2</v>
      </c>
      <c r="L12" s="669">
        <v>1.38E-2</v>
      </c>
      <c r="M12" s="669">
        <v>7.4999999999999997E-3</v>
      </c>
      <c r="N12" s="668">
        <f t="shared" ref="N12:N63" si="7">O12+P12</f>
        <v>0</v>
      </c>
      <c r="O12" s="668">
        <f>IF(Simulation!$D$43="Oui",$Q12,0)</f>
        <v>0</v>
      </c>
      <c r="P12" s="668">
        <f>IF(Simulation!$D$43="Oui",$R12,0)</f>
        <v>0</v>
      </c>
      <c r="Q12" s="677">
        <v>0</v>
      </c>
      <c r="R12" s="677">
        <v>0</v>
      </c>
      <c r="S12" s="56">
        <f>IF($F$1=1.8%,LOOKUP($A12,Sal_valid!$B$6:$B$127,Sal_valid!$C$6:$C$127),IF($F$1=1.5%,LOOKUP($A12,Sal_valid!$B$6:$B$127,Sal_valid!$D$6:$D$127),IF($F$1=1.3%,LOOKUP($A12,Sal_valid!$B$6:$B$127,Sal_valid!$E$6:$E$127),LOOKUP($A12,Sal_valid!$B$6:$B$127,Sal_valid!$F$6:$F$127))))</f>
        <v>34.301028878417334</v>
      </c>
      <c r="T12" s="73">
        <f>Revalo_RB!$D24</f>
        <v>6.9050647116031927E-2</v>
      </c>
      <c r="U12" s="73">
        <f>Revalo_RB!$H24</f>
        <v>5.8088472715531081E-2</v>
      </c>
      <c r="V12" s="56">
        <f>IF($F$1=1.8%,LOOKUP($A12,PSS!$B$6:$B$127,PSS!$C$6:$C$127),IF($F$1=1.5%,LOOKUP($A12,PSS!$B$6:$B$127,PSS!$D$6:$D$127),IF($F$1=1.3%,LOOKUP($A12,PSS!$B$6:$B$127,PSS!$E$6:$E$127),LOOKUP($A12,PSS!$B$6:$B$127,PSS!$F$6:$F$127))))</f>
        <v>1737.9187965064784</v>
      </c>
      <c r="W12" s="56"/>
      <c r="X12" s="56"/>
      <c r="Y12" s="56"/>
      <c r="Z12" s="56"/>
      <c r="AA12" s="337"/>
      <c r="AB12" s="666">
        <v>1964</v>
      </c>
      <c r="AC12" s="672">
        <v>0.04</v>
      </c>
      <c r="AD12" s="673">
        <v>2.4E-2</v>
      </c>
      <c r="AE12" s="673">
        <v>1.6E-2</v>
      </c>
      <c r="AF12" s="668">
        <v>0.08</v>
      </c>
      <c r="AG12" s="668">
        <v>0.06</v>
      </c>
      <c r="AH12" s="668">
        <v>0.02</v>
      </c>
      <c r="AI12" s="337"/>
      <c r="AJ12" s="667">
        <v>1</v>
      </c>
      <c r="AK12" s="667">
        <v>0.9</v>
      </c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663"/>
      <c r="BB12" s="686">
        <v>0.33080999999999999</v>
      </c>
      <c r="BC12" s="683">
        <v>0.71933068783472087</v>
      </c>
      <c r="BD12" s="664"/>
      <c r="BE12" s="687">
        <v>4.1161000000000003E-2</v>
      </c>
      <c r="BF12" s="687">
        <v>9.393908442169227E-2</v>
      </c>
      <c r="BG12" s="664"/>
      <c r="BH12" s="687">
        <v>4.3447969912661963E-2</v>
      </c>
      <c r="BI12" s="687">
        <v>9.4606414113863294E-2</v>
      </c>
      <c r="BJ12" s="661"/>
      <c r="BK12" s="366"/>
      <c r="BL12" s="666">
        <v>1964</v>
      </c>
      <c r="BM12" s="660"/>
      <c r="BN12" s="661"/>
      <c r="BO12" s="79"/>
      <c r="BP12" s="79"/>
      <c r="BQ12" s="79"/>
      <c r="BR12" s="79"/>
      <c r="BS12" s="79"/>
      <c r="BT12" s="79"/>
      <c r="BU12" s="366"/>
      <c r="BV12" s="666">
        <v>1964</v>
      </c>
      <c r="BW12" s="660"/>
      <c r="BX12" s="661"/>
      <c r="BY12" s="79"/>
      <c r="BZ12" s="79"/>
      <c r="CA12" s="79"/>
      <c r="CB12" s="79"/>
      <c r="CC12" s="79"/>
      <c r="CD12" s="79"/>
      <c r="CE12" s="665"/>
      <c r="CG12" s="666">
        <v>1964</v>
      </c>
      <c r="CH12" s="676"/>
      <c r="CI12" s="665"/>
      <c r="CJ12" s="336"/>
      <c r="CK12" s="336"/>
      <c r="CL12" s="697">
        <v>5.2499999999999998E-2</v>
      </c>
      <c r="CM12" s="673">
        <v>5.0000000000000001E-4</v>
      </c>
      <c r="CN12" s="673"/>
      <c r="CO12" s="337"/>
    </row>
    <row r="13" spans="1:93" s="361" customFormat="1" hidden="1" x14ac:dyDescent="0.25">
      <c r="A13" s="666">
        <v>1965</v>
      </c>
      <c r="B13" s="54">
        <f>IF($F$1=1.8%,LOOKUP($A13,Prix!B$6:B$127,Prix!$G$6:$G$127),IF($F$1=1.5%,LOOKUP($A13,Prix!B$6:B$127,Prix!$H$6:$H$127),IF($F$1=1.3%,LOOKUP($A13,Prix!B$6:B$127,Prix!$I$6:$I$127),LOOKUP($A13,Prix!B$6:B$127,Prix!$J$6:$J$127))))</f>
        <v>2.4778761061946986E-2</v>
      </c>
      <c r="C13" s="7">
        <f t="shared" si="0"/>
        <v>0.10789649575097875</v>
      </c>
      <c r="D13" s="56">
        <f>IF($F$1=1.8%,LOOKUP($A13,SMPT!$B$6:$B$127,SMPT!$C$6:$C$127),IF($F$1=1.5%,LOOKUP($A13,SMPT!$B$6:$B$127,SMPT!$D$6:$D$127),IF($F$1=1.3%,LOOKUP($A13,SMPT!$B$6:$B$127,SMPT!$E$6:$E$127),LOOKUP($A13,SMPT!$B$6:$B$127,SMPT!$F$6:$F$127))))</f>
        <v>2006.823444779016</v>
      </c>
      <c r="E13" s="58">
        <f t="shared" si="3"/>
        <v>6.5277764672039051E-2</v>
      </c>
      <c r="F13" s="56">
        <f>IF($F$1=1.8%,LOOKUP($A13,SMIC!$B$6:$B$125,SMIC!$C$6:$C$125),IF($F$1=1.5%,LOOKUP($A13,SMIC!$B$6:$B$125,SMIC!$D$6:$D$125),IF($F$1=1.3%,LOOKUP($A13,SMIC!$B$6:$B$125,SMIC!$E$6:$E$125),LOOKUP($A13,SMIC!$B$6:$B$125,SMIC!$F$6:$F$125))))</f>
        <v>626.25404718205198</v>
      </c>
      <c r="G13" s="153">
        <f t="shared" si="1"/>
        <v>5.4638596820171435E-2</v>
      </c>
      <c r="H13" s="357">
        <f t="shared" si="4"/>
        <v>7.3684210526315796E-2</v>
      </c>
      <c r="I13" s="666">
        <v>1965</v>
      </c>
      <c r="J13" s="662"/>
      <c r="K13" s="669">
        <f t="shared" si="6"/>
        <v>2.1299999999999999E-2</v>
      </c>
      <c r="L13" s="669">
        <v>1.38E-2</v>
      </c>
      <c r="M13" s="669">
        <v>7.4999999999999997E-3</v>
      </c>
      <c r="N13" s="668">
        <f t="shared" si="7"/>
        <v>0</v>
      </c>
      <c r="O13" s="668">
        <f>IF(Simulation!$D$43="Oui",$Q13,0)</f>
        <v>0</v>
      </c>
      <c r="P13" s="668">
        <f>IF(Simulation!$D$43="Oui",$R13,0)</f>
        <v>0</v>
      </c>
      <c r="Q13" s="677">
        <v>0</v>
      </c>
      <c r="R13" s="677">
        <v>0</v>
      </c>
      <c r="S13" s="56">
        <f>IF($F$1=1.8%,LOOKUP($A13,Sal_valid!$B$6:$B$127,Sal_valid!$C$6:$C$127),IF($F$1=1.5%,LOOKUP($A13,Sal_valid!$B$6:$B$127,Sal_valid!$D$6:$D$127),IF($F$1=1.3%,LOOKUP($A13,Sal_valid!$B$6:$B$127,Sal_valid!$E$6:$E$127),LOOKUP($A13,Sal_valid!$B$6:$B$127,Sal_valid!$F$6:$F$127))))</f>
        <v>38.112254309352593</v>
      </c>
      <c r="T13" s="73">
        <f>Revalo_RB!$D25</f>
        <v>5.8185560481317289E-2</v>
      </c>
      <c r="U13" s="73">
        <f>Revalo_RB!$H25</f>
        <v>4.000732399523943E-2</v>
      </c>
      <c r="V13" s="56">
        <f>IF($F$1=1.8%,LOOKUP($A13,PSS!$B$6:$B$127,PSS!$C$6:$C$127),IF($F$1=1.5%,LOOKUP($A13,PSS!$B$6:$B$127,PSS!$D$6:$D$127),IF($F$1=1.3%,LOOKUP($A13,PSS!$B$6:$B$127,PSS!$E$6:$E$127),LOOKUP($A13,PSS!$B$6:$B$127,PSS!$F$6:$F$127))))</f>
        <v>1865.9759709859031</v>
      </c>
      <c r="W13" s="56"/>
      <c r="X13" s="56"/>
      <c r="Y13" s="56"/>
      <c r="Z13" s="56"/>
      <c r="AA13" s="337"/>
      <c r="AB13" s="666">
        <v>1965</v>
      </c>
      <c r="AC13" s="672">
        <v>0.04</v>
      </c>
      <c r="AD13" s="673">
        <v>2.4E-2</v>
      </c>
      <c r="AE13" s="673">
        <v>1.6E-2</v>
      </c>
      <c r="AF13" s="668">
        <v>0.08</v>
      </c>
      <c r="AG13" s="668">
        <v>0.06</v>
      </c>
      <c r="AH13" s="668">
        <v>0.02</v>
      </c>
      <c r="AI13" s="337"/>
      <c r="AJ13" s="667">
        <v>1</v>
      </c>
      <c r="AK13" s="667">
        <v>0.95</v>
      </c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663"/>
      <c r="BB13" s="686">
        <v>0.34758</v>
      </c>
      <c r="BC13" s="683">
        <v>0.75817469742681309</v>
      </c>
      <c r="BD13" s="664"/>
      <c r="BE13" s="687">
        <v>4.5734999999999998E-2</v>
      </c>
      <c r="BF13" s="687">
        <v>0.10116516783874552</v>
      </c>
      <c r="BG13" s="664"/>
      <c r="BH13" s="687">
        <v>4.6878072800503691E-2</v>
      </c>
      <c r="BI13" s="687">
        <v>0.10189110800063077</v>
      </c>
      <c r="BJ13" s="661"/>
      <c r="BK13" s="366"/>
      <c r="BL13" s="666">
        <v>1965</v>
      </c>
      <c r="BM13" s="660"/>
      <c r="BN13" s="661"/>
      <c r="BO13" s="79"/>
      <c r="BP13" s="79"/>
      <c r="BQ13" s="79"/>
      <c r="BR13" s="79"/>
      <c r="BS13" s="79"/>
      <c r="BT13" s="79"/>
      <c r="BU13" s="366"/>
      <c r="BV13" s="666">
        <v>1965</v>
      </c>
      <c r="BW13" s="660"/>
      <c r="BX13" s="661"/>
      <c r="BY13" s="79"/>
      <c r="BZ13" s="79"/>
      <c r="CA13" s="79"/>
      <c r="CB13" s="79"/>
      <c r="CC13" s="79"/>
      <c r="CD13" s="79"/>
      <c r="CE13" s="665"/>
      <c r="CG13" s="666">
        <v>1965</v>
      </c>
      <c r="CH13" s="676"/>
      <c r="CI13" s="665"/>
      <c r="CJ13" s="336"/>
      <c r="CK13" s="336"/>
      <c r="CL13" s="697">
        <v>5.2499999999999998E-2</v>
      </c>
      <c r="CM13" s="673">
        <v>5.0000000000000001E-4</v>
      </c>
      <c r="CN13" s="673"/>
      <c r="CO13" s="337"/>
    </row>
    <row r="14" spans="1:93" s="361" customFormat="1" hidden="1" x14ac:dyDescent="0.25">
      <c r="A14" s="666">
        <v>1966</v>
      </c>
      <c r="B14" s="54">
        <f>IF($F$1=1.8%,LOOKUP($A14,Prix!B$6:B$127,Prix!$G$6:$G$127),IF($F$1=1.5%,LOOKUP($A14,Prix!B$6:B$127,Prix!$H$6:$H$127),IF($F$1=1.3%,LOOKUP($A14,Prix!B$6:B$127,Prix!$I$6:$I$127),LOOKUP($A14,Prix!B$6:B$127,Prix!$J$6:$J$127))))</f>
        <v>2.6770293609671869E-2</v>
      </c>
      <c r="C14" s="7">
        <f t="shared" si="0"/>
        <v>0.11057003723861362</v>
      </c>
      <c r="D14" s="56">
        <f>IF($F$1=1.8%,LOOKUP($A14,SMPT!$B$6:$B$127,SMPT!$C$6:$C$127),IF($F$1=1.5%,LOOKUP($A14,SMPT!$B$6:$B$127,SMPT!$D$6:$D$127),IF($F$1=1.3%,LOOKUP($A14,SMPT!$B$6:$B$127,SMPT!$E$6:$E$127),LOOKUP($A14,SMPT!$B$6:$B$127,SMPT!$F$6:$F$127))))</f>
        <v>2146.6042400590704</v>
      </c>
      <c r="E14" s="58">
        <f t="shared" si="3"/>
        <v>6.9652761753262515E-2</v>
      </c>
      <c r="F14" s="56">
        <f>IF($F$1=1.8%,LOOKUP($A14,SMIC!$B$6:$B$125,SMIC!$C$6:$C$125),IF($F$1=1.5%,LOOKUP($A14,SMIC!$B$6:$B$125,SMIC!$D$6:$D$125),IF($F$1=1.3%,LOOKUP($A14,SMIC!$B$6:$B$125,SMIC!$E$6:$E$125),LOOKUP($A14,SMIC!$B$6:$B$125,SMIC!$F$6:$F$125))))</f>
        <v>651.86047005545242</v>
      </c>
      <c r="G14" s="153">
        <f t="shared" si="1"/>
        <v>5.8444325987019402E-2</v>
      </c>
      <c r="H14" s="357">
        <f t="shared" si="4"/>
        <v>5.8823529411764719E-2</v>
      </c>
      <c r="I14" s="666">
        <v>1966</v>
      </c>
      <c r="J14" s="662"/>
      <c r="K14" s="669">
        <f t="shared" si="6"/>
        <v>2.1299999999999999E-2</v>
      </c>
      <c r="L14" s="669">
        <v>1.38E-2</v>
      </c>
      <c r="M14" s="669">
        <v>7.4999999999999997E-3</v>
      </c>
      <c r="N14" s="668">
        <f t="shared" si="7"/>
        <v>0</v>
      </c>
      <c r="O14" s="668">
        <f>IF(Simulation!$D$43="Oui",$Q14,0)</f>
        <v>0</v>
      </c>
      <c r="P14" s="668">
        <f>IF(Simulation!$D$43="Oui",$R14,0)</f>
        <v>0</v>
      </c>
      <c r="Q14" s="677">
        <v>0</v>
      </c>
      <c r="R14" s="677">
        <v>0</v>
      </c>
      <c r="S14" s="56">
        <f>IF($F$1=1.8%,LOOKUP($A14,Sal_valid!$B$6:$B$127,Sal_valid!$C$6:$C$127),IF($F$1=1.5%,LOOKUP($A14,Sal_valid!$B$6:$B$127,Sal_valid!$D$6:$D$127),IF($F$1=1.3%,LOOKUP($A14,Sal_valid!$B$6:$B$127,Sal_valid!$E$6:$E$127),LOOKUP($A14,Sal_valid!$B$6:$B$127,Sal_valid!$F$6:$F$127))))</f>
        <v>43.829092455755486</v>
      </c>
      <c r="T14" s="73">
        <f>Revalo_RB!$D26</f>
        <v>5.6275608328455462E-2</v>
      </c>
      <c r="U14" s="73">
        <f>Revalo_RB!$H26</f>
        <v>4.0038145539906145E-2</v>
      </c>
      <c r="V14" s="56">
        <f>IF($F$1=1.8%,LOOKUP($A14,PSS!$B$6:$B$127,PSS!$C$6:$C$127),IF($F$1=1.5%,LOOKUP($A14,PSS!$B$6:$B$127,PSS!$D$6:$D$127),IF($F$1=1.3%,LOOKUP($A14,PSS!$B$6:$B$127,PSS!$E$6:$E$127),LOOKUP($A14,PSS!$B$6:$B$127,PSS!$F$6:$F$127))))</f>
        <v>1975.7392633968386</v>
      </c>
      <c r="W14" s="56"/>
      <c r="X14" s="56"/>
      <c r="Y14" s="56"/>
      <c r="Z14" s="56"/>
      <c r="AA14" s="337"/>
      <c r="AB14" s="666">
        <v>1966</v>
      </c>
      <c r="AC14" s="672">
        <v>0.04</v>
      </c>
      <c r="AD14" s="673">
        <v>2.4E-2</v>
      </c>
      <c r="AE14" s="673">
        <v>1.6E-2</v>
      </c>
      <c r="AF14" s="668">
        <v>0.08</v>
      </c>
      <c r="AG14" s="668">
        <v>0.06</v>
      </c>
      <c r="AH14" s="668">
        <v>0.02</v>
      </c>
      <c r="AI14" s="337"/>
      <c r="AJ14" s="667">
        <v>1</v>
      </c>
      <c r="AK14" s="667">
        <v>1</v>
      </c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663"/>
      <c r="BB14" s="686">
        <v>0.3674</v>
      </c>
      <c r="BC14" s="683">
        <v>0.8059522194290174</v>
      </c>
      <c r="BD14" s="664"/>
      <c r="BE14" s="687">
        <v>4.8784000000000001E-2</v>
      </c>
      <c r="BF14" s="687">
        <v>0.10694298559204339</v>
      </c>
      <c r="BG14" s="664"/>
      <c r="BH14" s="687">
        <v>4.9164808059064848E-2</v>
      </c>
      <c r="BI14" s="687">
        <v>0.10769890115666672</v>
      </c>
      <c r="BJ14" s="661"/>
      <c r="BK14" s="366"/>
      <c r="BL14" s="666">
        <v>1966</v>
      </c>
      <c r="BM14" s="660"/>
      <c r="BN14" s="661"/>
      <c r="BO14" s="79"/>
      <c r="BP14" s="79"/>
      <c r="BQ14" s="79"/>
      <c r="BR14" s="79"/>
      <c r="BS14" s="79"/>
      <c r="BT14" s="79"/>
      <c r="BU14" s="366"/>
      <c r="BV14" s="666">
        <v>1966</v>
      </c>
      <c r="BW14" s="660"/>
      <c r="BX14" s="661"/>
      <c r="BY14" s="79"/>
      <c r="BZ14" s="79"/>
      <c r="CA14" s="79"/>
      <c r="CB14" s="79"/>
      <c r="CC14" s="79"/>
      <c r="CD14" s="79"/>
      <c r="CE14" s="665"/>
      <c r="CG14" s="666">
        <v>1966</v>
      </c>
      <c r="CH14" s="676"/>
      <c r="CI14" s="665"/>
      <c r="CJ14" s="336"/>
      <c r="CK14" s="336"/>
      <c r="CL14" s="697">
        <v>5.2499999999999998E-2</v>
      </c>
      <c r="CM14" s="673">
        <v>5.0000000000000001E-4</v>
      </c>
      <c r="CN14" s="673"/>
      <c r="CO14" s="337"/>
    </row>
    <row r="15" spans="1:93" s="361" customFormat="1" hidden="1" x14ac:dyDescent="0.25">
      <c r="A15" s="666">
        <v>1967</v>
      </c>
      <c r="B15" s="54">
        <f>IF($F$1=1.8%,LOOKUP($A15,Prix!B$6:B$127,Prix!$G$6:$G$127),IF($F$1=1.5%,LOOKUP($A15,Prix!B$6:B$127,Prix!$H$6:$H$127),IF($F$1=1.3%,LOOKUP($A15,Prix!B$6:B$127,Prix!$I$6:$I$127),LOOKUP($A15,Prix!B$6:B$127,Prix!$J$6:$J$127))))</f>
        <v>2.7754415475189198E-2</v>
      </c>
      <c r="C15" s="7">
        <f t="shared" si="0"/>
        <v>0.11353002959992367</v>
      </c>
      <c r="D15" s="56">
        <f>IF($F$1=1.8%,LOOKUP($A15,SMPT!$B$6:$B$127,SMPT!$C$6:$C$127),IF($F$1=1.5%,LOOKUP($A15,SMPT!$B$6:$B$127,SMPT!$D$6:$D$127),IF($F$1=1.3%,LOOKUP($A15,SMPT!$B$6:$B$127,SMPT!$E$6:$E$127),LOOKUP($A15,SMPT!$B$6:$B$127,SMPT!$F$6:$F$127))))</f>
        <v>2302.2959778644299</v>
      </c>
      <c r="E15" s="58">
        <f t="shared" si="3"/>
        <v>7.2529316256766174E-2</v>
      </c>
      <c r="F15" s="56">
        <f>IF($F$1=1.8%,LOOKUP($A15,SMIC!$B$6:$B$125,SMIC!$C$6:$C$125),IF($F$1=1.5%,LOOKUP($A15,SMIC!$B$6:$B$125,SMIC!$D$6:$D$125),IF($F$1=1.3%,LOOKUP($A15,SMIC!$B$6:$B$125,SMIC!$E$6:$E$125),LOOKUP($A15,SMIC!$B$6:$B$125,SMIC!$F$6:$F$125))))</f>
        <v>681.75200508569924</v>
      </c>
      <c r="G15" s="153">
        <f t="shared" si="1"/>
        <v>6.2683252989945468E-2</v>
      </c>
      <c r="H15" s="357">
        <f t="shared" si="4"/>
        <v>5.555555555555558E-2</v>
      </c>
      <c r="I15" s="666">
        <v>1967</v>
      </c>
      <c r="J15" s="662"/>
      <c r="K15" s="668">
        <f t="shared" si="6"/>
        <v>2.1299999999999999E-2</v>
      </c>
      <c r="L15" s="668">
        <v>1.38E-2</v>
      </c>
      <c r="M15" s="668">
        <v>7.4999999999999997E-3</v>
      </c>
      <c r="N15" s="668">
        <f t="shared" si="7"/>
        <v>0</v>
      </c>
      <c r="O15" s="668">
        <f>IF(Simulation!$D$43="Oui",$Q15,0)</f>
        <v>0</v>
      </c>
      <c r="P15" s="668">
        <f>IF(Simulation!$D$43="Oui",$R15,0)</f>
        <v>0</v>
      </c>
      <c r="Q15" s="677">
        <v>0</v>
      </c>
      <c r="R15" s="677">
        <v>0</v>
      </c>
      <c r="S15" s="56">
        <f>IF($F$1=1.8%,LOOKUP($A15,Sal_valid!$B$6:$B$127,Sal_valid!$C$6:$C$127),IF($F$1=1.5%,LOOKUP($A15,Sal_valid!$B$6:$B$127,Sal_valid!$D$6:$D$127),IF($F$1=1.3%,LOOKUP($A15,Sal_valid!$B$6:$B$127,Sal_valid!$E$6:$E$127),LOOKUP($A15,Sal_valid!$B$6:$B$127,Sal_valid!$F$6:$F$127))))</f>
        <v>49.545930602158371</v>
      </c>
      <c r="T15" s="73">
        <f>Revalo_RB!$D27</f>
        <v>8.4913362968338957E-2</v>
      </c>
      <c r="U15" s="73">
        <f>Revalo_RB!$H27</f>
        <v>3.6126902622409585E-2</v>
      </c>
      <c r="V15" s="56">
        <f>IF($F$1=1.8%,LOOKUP($A15,PSS!$B$6:$B$127,PSS!$C$6:$C$127),IF($F$1=1.5%,LOOKUP($A15,PSS!$B$6:$B$127,PSS!$D$6:$D$127),IF($F$1=1.3%,LOOKUP($A15,PSS!$B$6:$B$127,PSS!$E$6:$E$127),LOOKUP($A15,PSS!$B$6:$B$127,PSS!$F$6:$F$127))))</f>
        <v>2085.5025558077741</v>
      </c>
      <c r="W15" s="56"/>
      <c r="X15" s="56"/>
      <c r="Y15" s="56"/>
      <c r="Z15" s="56"/>
      <c r="AA15" s="337"/>
      <c r="AB15" s="666">
        <v>1967</v>
      </c>
      <c r="AC15" s="672">
        <v>0.04</v>
      </c>
      <c r="AD15" s="673">
        <v>2.4E-2</v>
      </c>
      <c r="AE15" s="673">
        <v>1.6E-2</v>
      </c>
      <c r="AF15" s="668">
        <v>0.08</v>
      </c>
      <c r="AG15" s="668">
        <v>0.06</v>
      </c>
      <c r="AH15" s="668">
        <v>0.02</v>
      </c>
      <c r="AI15" s="337"/>
      <c r="AJ15" s="667">
        <v>1</v>
      </c>
      <c r="AK15" s="667">
        <v>1</v>
      </c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663"/>
      <c r="BB15" s="686">
        <v>0.38873999999999997</v>
      </c>
      <c r="BC15" s="683">
        <v>0.84624449468486507</v>
      </c>
      <c r="BD15" s="664"/>
      <c r="BE15" s="687">
        <v>4.9546E-2</v>
      </c>
      <c r="BF15" s="687">
        <v>0.11273604824706498</v>
      </c>
      <c r="BG15" s="664"/>
      <c r="BH15" s="687">
        <v>5.0689298231438952E-2</v>
      </c>
      <c r="BI15" s="687">
        <v>0.11351464181912672</v>
      </c>
      <c r="BJ15" s="661"/>
      <c r="BK15" s="366"/>
      <c r="BL15" s="666">
        <v>1967</v>
      </c>
      <c r="BM15" s="660"/>
      <c r="BN15" s="661"/>
      <c r="BO15" s="79"/>
      <c r="BP15" s="79"/>
      <c r="BQ15" s="79"/>
      <c r="BR15" s="79"/>
      <c r="BS15" s="79"/>
      <c r="BT15" s="79"/>
      <c r="BU15" s="366"/>
      <c r="BV15" s="666">
        <v>1967</v>
      </c>
      <c r="BW15" s="660"/>
      <c r="BX15" s="661"/>
      <c r="BY15" s="79"/>
      <c r="BZ15" s="79"/>
      <c r="CA15" s="79"/>
      <c r="CB15" s="79"/>
      <c r="CC15" s="79"/>
      <c r="CD15" s="79"/>
      <c r="CE15" s="665"/>
      <c r="CG15" s="666">
        <v>1967</v>
      </c>
      <c r="CH15" s="676"/>
      <c r="CI15" s="665"/>
      <c r="CJ15" s="336"/>
      <c r="CK15" s="336"/>
      <c r="CL15" s="697">
        <v>4.7500000000000001E-2</v>
      </c>
      <c r="CM15" s="673">
        <v>5.0000000000000001E-4</v>
      </c>
      <c r="CN15" s="673"/>
      <c r="CO15" s="337"/>
    </row>
    <row r="16" spans="1:93" s="361" customFormat="1" hidden="1" x14ac:dyDescent="0.25">
      <c r="A16" s="666">
        <v>1968</v>
      </c>
      <c r="B16" s="54">
        <f>IF($F$1=1.8%,LOOKUP($A16,Prix!B$6:B$127,Prix!$G$6:$G$127),IF($F$1=1.5%,LOOKUP($A16,Prix!B$6:B$127,Prix!$H$6:$H$127),IF($F$1=1.3%,LOOKUP($A16,Prix!B$6:B$127,Prix!$I$6:$I$127),LOOKUP($A16,Prix!B$6:B$127,Prix!$J$6:$J$127))))</f>
        <v>4.5008183306055605E-2</v>
      </c>
      <c r="C16" s="7">
        <f t="shared" si="0"/>
        <v>0.11668098921035049</v>
      </c>
      <c r="D16" s="56">
        <f>IF($F$1=1.8%,LOOKUP($A16,SMPT!$B$6:$B$127,SMPT!$C$6:$C$127),IF($F$1=1.5%,LOOKUP($A16,SMPT!$B$6:$B$127,SMPT!$D$6:$D$127),IF($F$1=1.3%,LOOKUP($A16,SMPT!$B$6:$B$127,SMPT!$E$6:$E$127),LOOKUP($A16,SMPT!$B$6:$B$127,SMPT!$F$6:$F$127))))</f>
        <v>2533.6296235876976</v>
      </c>
      <c r="E16" s="58">
        <f t="shared" si="3"/>
        <v>0.1004795421385607</v>
      </c>
      <c r="F16" s="56">
        <f>IF($F$1=1.8%,LOOKUP($A16,SMIC!$B$6:$B$125,SMIC!$C$6:$C$125),IF($F$1=1.5%,LOOKUP($A16,SMIC!$B$6:$B$125,SMIC!$D$6:$D$125),IF($F$1=1.3%,LOOKUP($A16,SMIC!$B$6:$B$125,SMIC!$E$6:$E$125),LOOKUP($A16,SMIC!$B$6:$B$125,SMIC!$F$6:$F$125))))</f>
        <v>850.71283369392529</v>
      </c>
      <c r="G16" s="153">
        <f t="shared" si="1"/>
        <v>6.8981637550130759E-2</v>
      </c>
      <c r="H16" s="357">
        <f t="shared" si="4"/>
        <v>5.2631578947368363E-2</v>
      </c>
      <c r="I16" s="666">
        <v>1968</v>
      </c>
      <c r="J16" s="662"/>
      <c r="K16" s="668">
        <f t="shared" si="6"/>
        <v>8.4999999999999992E-2</v>
      </c>
      <c r="L16" s="668">
        <v>5.5E-2</v>
      </c>
      <c r="M16" s="668">
        <v>0.03</v>
      </c>
      <c r="N16" s="668">
        <f t="shared" si="7"/>
        <v>0</v>
      </c>
      <c r="O16" s="668">
        <f>IF(Simulation!$D$43="Oui",$Q16,0)</f>
        <v>0</v>
      </c>
      <c r="P16" s="668">
        <f>IF(Simulation!$D$43="Oui",$R16,0)</f>
        <v>0</v>
      </c>
      <c r="Q16" s="677">
        <v>0</v>
      </c>
      <c r="R16" s="677">
        <v>0</v>
      </c>
      <c r="S16" s="56">
        <f>IF($F$1=1.8%,LOOKUP($A16,Sal_valid!$B$6:$B$127,Sal_valid!$C$6:$C$127),IF($F$1=1.5%,LOOKUP($A16,Sal_valid!$B$6:$B$127,Sal_valid!$D$6:$D$127),IF($F$1=1.3%,LOOKUP($A16,Sal_valid!$B$6:$B$127,Sal_valid!$E$6:$E$127),LOOKUP($A16,Sal_valid!$B$6:$B$127,Sal_valid!$F$6:$F$127))))</f>
        <v>55.262768748561264</v>
      </c>
      <c r="T16" s="73">
        <f>Revalo_RB!$D28</f>
        <v>0.15351611552951039</v>
      </c>
      <c r="U16" s="73">
        <f>Revalo_RB!$H28</f>
        <v>0.11144996596324042</v>
      </c>
      <c r="V16" s="56">
        <f>IF($F$1=1.8%,LOOKUP($A16,PSS!$B$6:$B$127,PSS!$C$6:$C$127),IF($F$1=1.5%,LOOKUP($A16,PSS!$B$6:$B$127,PSS!$D$6:$D$127),IF($F$1=1.3%,LOOKUP($A16,PSS!$B$6:$B$127,PSS!$E$6:$E$127),LOOKUP($A16,PSS!$B$6:$B$127,PSS!$F$6:$F$127))))</f>
        <v>2195.2658482187094</v>
      </c>
      <c r="W16" s="56"/>
      <c r="X16" s="56"/>
      <c r="Y16" s="56"/>
      <c r="Z16" s="56"/>
      <c r="AA16" s="337"/>
      <c r="AB16" s="666">
        <v>1968</v>
      </c>
      <c r="AC16" s="672">
        <v>0.04</v>
      </c>
      <c r="AD16" s="673">
        <v>2.4E-2</v>
      </c>
      <c r="AE16" s="673">
        <v>1.6E-2</v>
      </c>
      <c r="AF16" s="668">
        <v>0.08</v>
      </c>
      <c r="AG16" s="668">
        <v>0.06</v>
      </c>
      <c r="AH16" s="668">
        <v>0.02</v>
      </c>
      <c r="AI16" s="337"/>
      <c r="AJ16" s="667">
        <v>1</v>
      </c>
      <c r="AK16" s="667">
        <v>1</v>
      </c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663"/>
      <c r="BB16" s="686">
        <v>0.42227999999999999</v>
      </c>
      <c r="BC16" s="683">
        <v>0.93172265864988102</v>
      </c>
      <c r="BD16" s="664"/>
      <c r="BE16" s="687">
        <v>5.1832999999999997E-2</v>
      </c>
      <c r="BF16" s="687">
        <v>0.12011458068135565</v>
      </c>
      <c r="BG16" s="664"/>
      <c r="BH16" s="687">
        <v>5.3738278576187168E-2</v>
      </c>
      <c r="BI16" s="687">
        <v>0.12089309353736996</v>
      </c>
      <c r="BJ16" s="661"/>
      <c r="BK16" s="366"/>
      <c r="BL16" s="666">
        <v>1968</v>
      </c>
      <c r="BM16" s="660"/>
      <c r="BN16" s="661"/>
      <c r="BO16" s="79"/>
      <c r="BP16" s="79"/>
      <c r="BQ16" s="79"/>
      <c r="BR16" s="79"/>
      <c r="BS16" s="79"/>
      <c r="BT16" s="79"/>
      <c r="BU16" s="366"/>
      <c r="BV16" s="666">
        <v>1968</v>
      </c>
      <c r="BW16" s="660"/>
      <c r="BX16" s="661"/>
      <c r="BY16" s="79"/>
      <c r="BZ16" s="79"/>
      <c r="CA16" s="79"/>
      <c r="CB16" s="79"/>
      <c r="CC16" s="79"/>
      <c r="CD16" s="79"/>
      <c r="CE16" s="665"/>
      <c r="CG16" s="666">
        <v>1968</v>
      </c>
      <c r="CH16" s="676"/>
      <c r="CI16" s="665"/>
      <c r="CJ16" s="336"/>
      <c r="CK16" s="336"/>
      <c r="CL16" s="697">
        <v>3.5000000000000003E-2</v>
      </c>
      <c r="CM16" s="673">
        <v>7.000000000000001E-4</v>
      </c>
      <c r="CN16" s="673"/>
      <c r="CO16" s="337"/>
    </row>
    <row r="17" spans="1:93" s="361" customFormat="1" hidden="1" x14ac:dyDescent="0.25">
      <c r="A17" s="666">
        <v>1969</v>
      </c>
      <c r="B17" s="54">
        <f>IF($F$1=1.8%,LOOKUP($A17,Prix!B$6:B$127,Prix!$G$6:$G$127),IF($F$1=1.5%,LOOKUP($A17,Prix!B$6:B$127,Prix!$H$6:$H$127),IF($F$1=1.3%,LOOKUP($A17,Prix!B$6:B$127,Prix!$I$6:$I$127),LOOKUP($A17,Prix!B$6:B$127,Prix!$J$6:$J$127))))</f>
        <v>6.4212999216914479E-2</v>
      </c>
      <c r="C17" s="7">
        <f t="shared" si="0"/>
        <v>0.12193258856106183</v>
      </c>
      <c r="D17" s="56">
        <f>IF($F$1=1.8%,LOOKUP($A17,SMPT!$B$6:$B$127,SMPT!$C$6:$C$127),IF($F$1=1.5%,LOOKUP($A17,SMPT!$B$6:$B$127,SMPT!$D$6:$D$127),IF($F$1=1.3%,LOOKUP($A17,SMPT!$B$6:$B$127,SMPT!$E$6:$E$127),LOOKUP($A17,SMPT!$B$6:$B$127,SMPT!$F$6:$F$127))))</f>
        <v>2792.1564466588902</v>
      </c>
      <c r="E17" s="58">
        <f t="shared" si="3"/>
        <v>0.10203812769804554</v>
      </c>
      <c r="F17" s="56">
        <f>IF($F$1=1.8%,LOOKUP($A17,SMIC!$B$6:$B$125,SMIC!$C$6:$C$125),IF($F$1=1.5%,LOOKUP($A17,SMIC!$B$6:$B$125,SMIC!$D$6:$D$125),IF($F$1=1.3%,LOOKUP($A17,SMIC!$B$6:$B$125,SMIC!$E$6:$E$125),LOOKUP($A17,SMIC!$B$6:$B$125,SMIC!$F$6:$F$125))))</f>
        <v>1002.9638386127924</v>
      </c>
      <c r="G17" s="153">
        <f t="shared" si="1"/>
        <v>7.6020394691291293E-2</v>
      </c>
      <c r="H17" s="357">
        <f t="shared" si="4"/>
        <v>0.1333333333333333</v>
      </c>
      <c r="I17" s="666">
        <v>1969</v>
      </c>
      <c r="J17" s="662"/>
      <c r="K17" s="668">
        <f t="shared" si="6"/>
        <v>8.4999999999999992E-2</v>
      </c>
      <c r="L17" s="668">
        <v>5.5E-2</v>
      </c>
      <c r="M17" s="668">
        <v>0.03</v>
      </c>
      <c r="N17" s="668">
        <f t="shared" si="7"/>
        <v>0</v>
      </c>
      <c r="O17" s="668">
        <f>IF(Simulation!$D$43="Oui",$Q17,0)</f>
        <v>0</v>
      </c>
      <c r="P17" s="668">
        <f>IF(Simulation!$D$43="Oui",$R17,0)</f>
        <v>0</v>
      </c>
      <c r="Q17" s="677">
        <v>0</v>
      </c>
      <c r="R17" s="677">
        <v>0</v>
      </c>
      <c r="S17" s="56">
        <f>IF($F$1=1.8%,LOOKUP($A17,Sal_valid!$B$6:$B$127,Sal_valid!$C$6:$C$127),IF($F$1=1.5%,LOOKUP($A17,Sal_valid!$B$6:$B$127,Sal_valid!$D$6:$D$127),IF($F$1=1.3%,LOOKUP($A17,Sal_valid!$B$6:$B$127,Sal_valid!$E$6:$E$127),LOOKUP($A17,Sal_valid!$B$6:$B$127,Sal_valid!$F$6:$F$127))))</f>
        <v>59.073994179496523</v>
      </c>
      <c r="T17" s="73">
        <f>Revalo_RB!$D29</f>
        <v>0.100921658986175</v>
      </c>
      <c r="U17" s="73">
        <f>Revalo_RB!$H29</f>
        <v>5.0051447890636425E-2</v>
      </c>
      <c r="V17" s="56">
        <f>IF($F$1=1.8%,LOOKUP($A17,PSS!$B$6:$B$127,PSS!$C$6:$C$127),IF($F$1=1.5%,LOOKUP($A17,PSS!$B$6:$B$127,PSS!$D$6:$D$127),IF($F$1=1.3%,LOOKUP($A17,PSS!$B$6:$B$127,PSS!$E$6:$E$127),LOOKUP($A17,PSS!$B$6:$B$127,PSS!$F$6:$F$127))))</f>
        <v>2487.9679613145372</v>
      </c>
      <c r="W17" s="56"/>
      <c r="X17" s="56"/>
      <c r="Y17" s="56"/>
      <c r="Z17" s="56"/>
      <c r="AA17" s="337"/>
      <c r="AB17" s="666">
        <v>1969</v>
      </c>
      <c r="AC17" s="672">
        <v>0.04</v>
      </c>
      <c r="AD17" s="673">
        <v>2.4E-2</v>
      </c>
      <c r="AE17" s="673">
        <v>1.6E-2</v>
      </c>
      <c r="AF17" s="668">
        <v>0.08</v>
      </c>
      <c r="AG17" s="668">
        <v>0.06</v>
      </c>
      <c r="AH17" s="668">
        <v>0.02</v>
      </c>
      <c r="AI17" s="337"/>
      <c r="AJ17" s="667">
        <v>1</v>
      </c>
      <c r="AK17" s="667">
        <v>1</v>
      </c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337"/>
      <c r="AZ17" s="337"/>
      <c r="BA17" s="663"/>
      <c r="BB17" s="686">
        <v>0.45734999999999998</v>
      </c>
      <c r="BC17" s="683">
        <v>1.0258141920888109</v>
      </c>
      <c r="BD17" s="664"/>
      <c r="BE17" s="687">
        <v>5.8236000000000003E-2</v>
      </c>
      <c r="BF17" s="687">
        <v>0.12849927662941321</v>
      </c>
      <c r="BG17" s="664"/>
      <c r="BH17" s="687">
        <v>5.9988688282920991E-2</v>
      </c>
      <c r="BI17" s="687">
        <v>0.12935561008498586</v>
      </c>
      <c r="BJ17" s="661"/>
      <c r="BK17" s="366"/>
      <c r="BL17" s="666">
        <v>1969</v>
      </c>
      <c r="BM17" s="660"/>
      <c r="BN17" s="661"/>
      <c r="BO17" s="79"/>
      <c r="BP17" s="79"/>
      <c r="BQ17" s="79"/>
      <c r="BR17" s="79"/>
      <c r="BS17" s="79"/>
      <c r="BT17" s="79"/>
      <c r="BU17" s="366"/>
      <c r="BV17" s="666">
        <v>1969</v>
      </c>
      <c r="BW17" s="660"/>
      <c r="BX17" s="661"/>
      <c r="BY17" s="79"/>
      <c r="BZ17" s="79"/>
      <c r="CA17" s="79"/>
      <c r="CB17" s="79"/>
      <c r="CC17" s="79"/>
      <c r="CD17" s="79"/>
      <c r="CE17" s="665"/>
      <c r="CG17" s="666">
        <v>1969</v>
      </c>
      <c r="CH17" s="676"/>
      <c r="CI17" s="665"/>
      <c r="CJ17" s="336"/>
      <c r="CK17" s="336"/>
      <c r="CL17" s="697">
        <v>3.5000000000000003E-2</v>
      </c>
      <c r="CM17" s="673">
        <v>8.0000000000000004E-4</v>
      </c>
      <c r="CN17" s="673"/>
      <c r="CO17" s="337"/>
    </row>
    <row r="18" spans="1:93" s="361" customFormat="1" hidden="1" x14ac:dyDescent="0.25">
      <c r="A18" s="666">
        <v>1970</v>
      </c>
      <c r="B18" s="54">
        <f>IF($F$1=1.8%,LOOKUP($A18,Prix!B$6:B$127,Prix!$G$6:$G$127),IF($F$1=1.5%,LOOKUP($A18,Prix!B$6:B$127,Prix!$H$6:$H$127),IF($F$1=1.3%,LOOKUP($A18,Prix!B$6:B$127,Prix!$I$6:$I$127),LOOKUP($A18,Prix!B$6:B$127,Prix!$J$6:$J$127))))</f>
        <v>5.2244297277409979E-2</v>
      </c>
      <c r="C18" s="7">
        <f t="shared" si="0"/>
        <v>0.12976224577484965</v>
      </c>
      <c r="D18" s="56">
        <f>IF($F$1=1.8%,LOOKUP($A18,SMPT!$B$6:$B$127,SMPT!$C$6:$C$127),IF($F$1=1.5%,LOOKUP($A18,SMPT!$B$6:$B$127,SMPT!$D$6:$D$127),IF($F$1=1.3%,LOOKUP($A18,SMPT!$B$6:$B$127,SMPT!$E$6:$E$127),LOOKUP($A18,SMPT!$B$6:$B$127,SMPT!$F$6:$F$127))))</f>
        <v>3094.723565736314</v>
      </c>
      <c r="E18" s="58">
        <f t="shared" si="3"/>
        <v>0.1083632399751373</v>
      </c>
      <c r="F18" s="56">
        <f>IF($F$1=1.8%,LOOKUP($A18,SMIC!$B$6:$B$125,SMIC!$C$6:$C$125),IF($F$1=1.5%,LOOKUP($A18,SMIC!$B$6:$B$125,SMIC!$D$6:$D$125),IF($F$1=1.3%,LOOKUP($A18,SMIC!$B$6:$B$125,SMIC!$E$6:$E$125),LOOKUP($A18,SMIC!$B$6:$B$125,SMIC!$F$6:$F$125))))</f>
        <v>1083.201640702267</v>
      </c>
      <c r="G18" s="153">
        <f t="shared" si="1"/>
        <v>8.4258210964228336E-2</v>
      </c>
      <c r="H18" s="357">
        <f t="shared" si="4"/>
        <v>0.10294117647058831</v>
      </c>
      <c r="I18" s="666">
        <v>1970</v>
      </c>
      <c r="J18" s="662"/>
      <c r="K18" s="668">
        <f t="shared" si="6"/>
        <v>8.5999999999999993E-2</v>
      </c>
      <c r="L18" s="668">
        <v>5.5999999999999994E-2</v>
      </c>
      <c r="M18" s="668">
        <v>0.03</v>
      </c>
      <c r="N18" s="668">
        <f t="shared" si="7"/>
        <v>0</v>
      </c>
      <c r="O18" s="668">
        <f>IF(Simulation!$D$43="Oui",$Q18,0)</f>
        <v>0</v>
      </c>
      <c r="P18" s="668">
        <f>IF(Simulation!$D$43="Oui",$R18,0)</f>
        <v>0</v>
      </c>
      <c r="Q18" s="677">
        <v>0</v>
      </c>
      <c r="R18" s="677">
        <v>0</v>
      </c>
      <c r="S18" s="56">
        <f>IF($F$1=1.8%,LOOKUP($A18,Sal_valid!$B$6:$B$127,Sal_valid!$C$6:$C$127),IF($F$1=1.5%,LOOKUP($A18,Sal_valid!$B$6:$B$127,Sal_valid!$D$6:$D$127),IF($F$1=1.3%,LOOKUP($A18,Sal_valid!$B$6:$B$127,Sal_valid!$E$6:$E$127),LOOKUP($A18,Sal_valid!$B$6:$B$127,Sal_valid!$F$6:$F$127))))</f>
        <v>62.885219610431783</v>
      </c>
      <c r="T18" s="73">
        <f>Revalo_RB!$D30</f>
        <v>0.11467831000385265</v>
      </c>
      <c r="U18" s="73">
        <f>Revalo_RB!$H30</f>
        <v>7.2023517883390564E-2</v>
      </c>
      <c r="V18" s="56">
        <f>IF($F$1=1.8%,LOOKUP($A18,PSS!$B$6:$B$127,PSS!$C$6:$C$127),IF($F$1=1.5%,LOOKUP($A18,PSS!$B$6:$B$127,PSS!$D$6:$D$127),IF($F$1=1.3%,LOOKUP($A18,PSS!$B$6:$B$127,PSS!$E$6:$E$127),LOOKUP($A18,PSS!$B$6:$B$127,PSS!$F$6:$F$127))))</f>
        <v>2744.0823102733871</v>
      </c>
      <c r="W18" s="56"/>
      <c r="X18" s="56"/>
      <c r="Y18" s="56"/>
      <c r="Z18" s="56"/>
      <c r="AA18" s="337"/>
      <c r="AB18" s="666">
        <v>1970</v>
      </c>
      <c r="AC18" s="672">
        <v>0.04</v>
      </c>
      <c r="AD18" s="673">
        <v>2.4E-2</v>
      </c>
      <c r="AE18" s="673">
        <v>1.6E-2</v>
      </c>
      <c r="AF18" s="668">
        <v>0.08</v>
      </c>
      <c r="AG18" s="668">
        <v>0.06</v>
      </c>
      <c r="AH18" s="668">
        <v>0.02</v>
      </c>
      <c r="AI18" s="337"/>
      <c r="AJ18" s="667">
        <v>1</v>
      </c>
      <c r="AK18" s="667">
        <v>1</v>
      </c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663"/>
      <c r="BB18" s="686">
        <v>0.49697999999999998</v>
      </c>
      <c r="BC18" s="683">
        <v>1.1283971357878642</v>
      </c>
      <c r="BD18" s="664"/>
      <c r="BE18" s="687">
        <v>6.1741999999999998E-2</v>
      </c>
      <c r="BF18" s="687">
        <v>0.13862189137397726</v>
      </c>
      <c r="BG18" s="664"/>
      <c r="BH18" s="687">
        <v>6.4028587239712373E-2</v>
      </c>
      <c r="BI18" s="687">
        <v>0.13957470328169974</v>
      </c>
      <c r="BJ18" s="661"/>
      <c r="BK18" s="366"/>
      <c r="BL18" s="666">
        <v>1970</v>
      </c>
      <c r="BM18" s="660"/>
      <c r="BN18" s="661"/>
      <c r="BO18" s="79"/>
      <c r="BP18" s="79"/>
      <c r="BQ18" s="79"/>
      <c r="BR18" s="79"/>
      <c r="BS18" s="79"/>
      <c r="BT18" s="79"/>
      <c r="BU18" s="366"/>
      <c r="BV18" s="666">
        <v>1970</v>
      </c>
      <c r="BW18" s="660"/>
      <c r="BX18" s="661"/>
      <c r="BY18" s="79"/>
      <c r="BZ18" s="79"/>
      <c r="CA18" s="79"/>
      <c r="CB18" s="79"/>
      <c r="CC18" s="79"/>
      <c r="CD18" s="79"/>
      <c r="CE18" s="665"/>
      <c r="CG18" s="666">
        <v>1970</v>
      </c>
      <c r="CH18" s="676"/>
      <c r="CI18" s="665"/>
      <c r="CJ18" s="336"/>
      <c r="CK18" s="336"/>
      <c r="CL18" s="697">
        <v>3.5000000000000003E-2</v>
      </c>
      <c r="CM18" s="673">
        <v>8.0000000000000004E-4</v>
      </c>
      <c r="CN18" s="673"/>
      <c r="CO18" s="337"/>
    </row>
    <row r="19" spans="1:93" s="361" customFormat="1" hidden="1" x14ac:dyDescent="0.25">
      <c r="A19" s="666">
        <v>1971</v>
      </c>
      <c r="B19" s="54">
        <f>IF($F$1=1.8%,LOOKUP($A19,Prix!B$6:B$127,Prix!$G$6:$G$127),IF($F$1=1.5%,LOOKUP($A19,Prix!B$6:B$127,Prix!$H$6:$H$127),IF($F$1=1.3%,LOOKUP($A19,Prix!B$6:B$127,Prix!$I$6:$I$127),LOOKUP($A19,Prix!B$6:B$127,Prix!$J$6:$J$127))))</f>
        <v>5.6643356643356402E-2</v>
      </c>
      <c r="C19" s="7">
        <f t="shared" si="0"/>
        <v>0.13654158311849524</v>
      </c>
      <c r="D19" s="56">
        <f>IF($F$1=1.8%,LOOKUP($A19,SMPT!$B$6:$B$127,SMPT!$C$6:$C$127),IF($F$1=1.5%,LOOKUP($A19,SMPT!$B$6:$B$127,SMPT!$D$6:$D$127),IF($F$1=1.3%,LOOKUP($A19,SMPT!$B$6:$B$127,SMPT!$E$6:$E$127),LOOKUP($A19,SMPT!$B$6:$B$127,SMPT!$F$6:$F$127))))</f>
        <v>3419.8160069236997</v>
      </c>
      <c r="E19" s="58">
        <f t="shared" si="3"/>
        <v>0.10504732790569538</v>
      </c>
      <c r="F19" s="56">
        <f>IF($F$1=1.8%,LOOKUP($A19,SMIC!$B$6:$B$125,SMIC!$C$6:$C$125),IF($F$1=1.5%,LOOKUP($A19,SMIC!$B$6:$B$125,SMIC!$D$6:$D$125),IF($F$1=1.3%,LOOKUP($A19,SMIC!$B$6:$B$125,SMIC!$E$6:$E$125),LOOKUP($A19,SMIC!$B$6:$B$125,SMIC!$F$6:$F$125))))</f>
        <v>1192.594711719013</v>
      </c>
      <c r="G19" s="153">
        <f t="shared" si="1"/>
        <v>9.3109310880134896E-2</v>
      </c>
      <c r="H19" s="357">
        <f t="shared" si="4"/>
        <v>9.9999999999999867E-2</v>
      </c>
      <c r="I19" s="666">
        <v>1971</v>
      </c>
      <c r="J19" s="662"/>
      <c r="K19" s="668">
        <f t="shared" si="6"/>
        <v>8.7499999999999994E-2</v>
      </c>
      <c r="L19" s="668">
        <v>5.7500000000000002E-2</v>
      </c>
      <c r="M19" s="668">
        <v>0.03</v>
      </c>
      <c r="N19" s="668">
        <f t="shared" si="7"/>
        <v>0</v>
      </c>
      <c r="O19" s="668">
        <f>IF(Simulation!$D$43="Oui",$Q19,0)</f>
        <v>0</v>
      </c>
      <c r="P19" s="668">
        <f>IF(Simulation!$D$43="Oui",$R19,0)</f>
        <v>0</v>
      </c>
      <c r="Q19" s="677">
        <v>0</v>
      </c>
      <c r="R19" s="677">
        <v>0</v>
      </c>
      <c r="S19" s="56">
        <f>IF($F$1=1.8%,LOOKUP($A19,Sal_valid!$B$6:$B$127,Sal_valid!$C$6:$C$127),IF($F$1=1.5%,LOOKUP($A19,Sal_valid!$B$6:$B$127,Sal_valid!$D$6:$D$127),IF($F$1=1.3%,LOOKUP($A19,Sal_valid!$B$6:$B$127,Sal_valid!$E$6:$E$127),LOOKUP($A19,Sal_valid!$B$6:$B$127,Sal_valid!$F$6:$F$127))))</f>
        <v>66.696445041367042</v>
      </c>
      <c r="T19" s="73">
        <f>Revalo_RB!$D31</f>
        <v>0.10989167616875717</v>
      </c>
      <c r="U19" s="73">
        <f>Revalo_RB!$H31</f>
        <v>8.460651170888811E-2</v>
      </c>
      <c r="V19" s="56">
        <f>IF($F$1=1.8%,LOOKUP($A19,PSS!$B$6:$B$127,PSS!$C$6:$C$127),IF($F$1=1.5%,LOOKUP($A19,PSS!$B$6:$B$127,PSS!$D$6:$D$127),IF($F$1=1.3%,LOOKUP($A19,PSS!$B$6:$B$127,PSS!$E$6:$E$127),LOOKUP($A19,PSS!$B$6:$B$127,PSS!$F$6:$F$127))))</f>
        <v>3018.4905413007255</v>
      </c>
      <c r="W19" s="56"/>
      <c r="X19" s="56"/>
      <c r="Y19" s="56"/>
      <c r="Z19" s="56"/>
      <c r="AA19" s="337"/>
      <c r="AB19" s="666">
        <v>1971</v>
      </c>
      <c r="AC19" s="672">
        <v>0.04</v>
      </c>
      <c r="AD19" s="673">
        <v>2.4E-2</v>
      </c>
      <c r="AE19" s="673">
        <v>1.6E-2</v>
      </c>
      <c r="AF19" s="668">
        <v>0.08</v>
      </c>
      <c r="AG19" s="668">
        <v>0.06</v>
      </c>
      <c r="AH19" s="668">
        <v>0.02</v>
      </c>
      <c r="AI19" s="337"/>
      <c r="AJ19" s="667">
        <v>1.0249999999999999</v>
      </c>
      <c r="AK19" s="667">
        <v>1</v>
      </c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663"/>
      <c r="BB19" s="686">
        <v>0.54118999999999995</v>
      </c>
      <c r="BC19" s="683">
        <v>1.2468805119847794</v>
      </c>
      <c r="BD19" s="664"/>
      <c r="BE19" s="687">
        <v>6.8601999999999996E-2</v>
      </c>
      <c r="BF19" s="687">
        <v>0.15231181312189671</v>
      </c>
      <c r="BG19" s="664"/>
      <c r="BH19" s="687">
        <v>7.1651038101582881E-2</v>
      </c>
      <c r="BI19" s="687">
        <v>0.15339259890658802</v>
      </c>
      <c r="BJ19" s="661"/>
      <c r="BK19" s="366"/>
      <c r="BL19" s="666">
        <v>1971</v>
      </c>
      <c r="BM19" s="660"/>
      <c r="BN19" s="661"/>
      <c r="BO19" s="79"/>
      <c r="BP19" s="79"/>
      <c r="BQ19" s="79"/>
      <c r="BR19" s="79"/>
      <c r="BS19" s="79"/>
      <c r="BT19" s="79"/>
      <c r="BU19" s="366"/>
      <c r="BV19" s="666">
        <v>1971</v>
      </c>
      <c r="BW19" s="660"/>
      <c r="BX19" s="661"/>
      <c r="BY19" s="79"/>
      <c r="BZ19" s="79"/>
      <c r="CA19" s="79"/>
      <c r="CB19" s="79"/>
      <c r="CC19" s="79"/>
      <c r="CD19" s="79"/>
      <c r="CE19" s="665"/>
      <c r="CG19" s="666">
        <v>1971</v>
      </c>
      <c r="CH19" s="676"/>
      <c r="CI19" s="665"/>
      <c r="CJ19" s="336"/>
      <c r="CK19" s="336"/>
      <c r="CL19" s="697">
        <v>3.5000000000000003E-2</v>
      </c>
      <c r="CM19" s="673">
        <v>8.0000000000000004E-4</v>
      </c>
      <c r="CN19" s="673"/>
      <c r="CO19" s="698">
        <v>1.6000000000000001E-4</v>
      </c>
    </row>
    <row r="20" spans="1:93" s="361" customFormat="1" hidden="1" x14ac:dyDescent="0.25">
      <c r="A20" s="666">
        <v>1972</v>
      </c>
      <c r="B20" s="54">
        <f>IF($F$1=1.8%,LOOKUP($A20,Prix!B$6:B$127,Prix!$G$6:$G$127),IF($F$1=1.5%,LOOKUP($A20,Prix!B$6:B$127,Prix!$H$6:$H$127),IF($F$1=1.3%,LOOKUP($A20,Prix!B$6:B$127,Prix!$I$6:$I$127),LOOKUP($A20,Prix!B$6:B$127,Prix!$J$6:$J$127))))</f>
        <v>6.154864328259424E-2</v>
      </c>
      <c r="C20" s="7">
        <f t="shared" si="0"/>
        <v>0.14427575670772466</v>
      </c>
      <c r="D20" s="56">
        <f>IF($F$1=1.8%,LOOKUP($A20,SMPT!$B$6:$B$127,SMPT!$C$6:$C$127),IF($F$1=1.5%,LOOKUP($A20,SMPT!$B$6:$B$127,SMPT!$D$6:$D$127),IF($F$1=1.3%,LOOKUP($A20,SMPT!$B$6:$B$127,SMPT!$E$6:$E$127),LOOKUP($A20,SMPT!$B$6:$B$127,SMPT!$F$6:$F$127))))</f>
        <v>3814.3896407600828</v>
      </c>
      <c r="E20" s="58">
        <f t="shared" si="3"/>
        <v>0.1153786148253404</v>
      </c>
      <c r="F20" s="56">
        <f>IF($F$1=1.8%,LOOKUP($A20,SMIC!$B$6:$B$125,SMIC!$C$6:$C$125),IF($F$1=1.5%,LOOKUP($A20,SMIC!$B$6:$B$125,SMIC!$D$6:$D$125),IF($F$1=1.3%,LOOKUP($A20,SMIC!$B$6:$B$125,SMIC!$E$6:$E$125),LOOKUP($A20,SMIC!$B$6:$B$125,SMIC!$F$6:$F$125))))</f>
        <v>1328.4070807953383</v>
      </c>
      <c r="G20" s="153">
        <f t="shared" si="1"/>
        <v>0.10385213419682686</v>
      </c>
      <c r="H20" s="357">
        <f t="shared" si="4"/>
        <v>0.10909090909090913</v>
      </c>
      <c r="I20" s="666">
        <v>1972</v>
      </c>
      <c r="J20" s="662"/>
      <c r="K20" s="668">
        <f t="shared" si="6"/>
        <v>8.7499999999999994E-2</v>
      </c>
      <c r="L20" s="668">
        <v>5.7500000000000002E-2</v>
      </c>
      <c r="M20" s="668">
        <v>0.03</v>
      </c>
      <c r="N20" s="668">
        <f t="shared" si="7"/>
        <v>0</v>
      </c>
      <c r="O20" s="668">
        <f>IF(Simulation!$D$43="Oui",$Q20,0)</f>
        <v>0</v>
      </c>
      <c r="P20" s="668">
        <f>IF(Simulation!$D$43="Oui",$R20,0)</f>
        <v>0</v>
      </c>
      <c r="Q20" s="677">
        <v>0</v>
      </c>
      <c r="R20" s="677">
        <v>0</v>
      </c>
      <c r="S20" s="56">
        <f>IF($F$1=1.8%,LOOKUP($A20,Sal_valid!$B$6:$B$127,Sal_valid!$C$6:$C$127),IF($F$1=1.5%,LOOKUP($A20,Sal_valid!$B$6:$B$127,Sal_valid!$D$6:$D$127),IF($F$1=1.3%,LOOKUP($A20,Sal_valid!$B$6:$B$127,Sal_valid!$E$6:$E$127),LOOKUP($A20,Sal_valid!$B$6:$B$127,Sal_valid!$F$6:$F$127))))</f>
        <v>120.12982558307938</v>
      </c>
      <c r="T20" s="73">
        <f>Revalo_RB!$D32</f>
        <v>8.2215023908684293E-2</v>
      </c>
      <c r="U20" s="73">
        <f>Revalo_RB!$H32</f>
        <v>6.9598980646326414E-2</v>
      </c>
      <c r="V20" s="56">
        <f>IF($F$1=1.8%,LOOKUP($A20,PSS!$B$6:$B$127,PSS!$C$6:$C$127),IF($F$1=1.5%,LOOKUP($A20,PSS!$B$6:$B$127,PSS!$D$6:$D$127),IF($F$1=1.3%,LOOKUP($A20,PSS!$B$6:$B$127,PSS!$E$6:$E$127),LOOKUP($A20,PSS!$B$6:$B$127,PSS!$F$6:$F$127))))</f>
        <v>3347.7804185335322</v>
      </c>
      <c r="W20" s="56">
        <f>IF($F$1=1.8%,LOOKUP($A20,Smic_AVPF!$B$6:$B$104,Smic_AVPF!$C$6:$C$104),IF($F$1=1.5%,LOOKUP($A20,Smic_AVPF!$B$6:$B$104,Smic_AVPF!$D$6:$D$104),IF($F$1=1.3%,LOOKUP($A20,Smic_AVPF!$B$6:$B$104,Smic_AVPF!$E$6:$E$104),LOOKUP($A20,Smic_AVPF!$B$6:$B$104,Smic_AVPF!$F$6:$F$104))))</f>
        <v>1220.7873381944244</v>
      </c>
      <c r="X20" s="56"/>
      <c r="Y20" s="56"/>
      <c r="Z20" s="56"/>
      <c r="AA20" s="337"/>
      <c r="AB20" s="666">
        <v>1972</v>
      </c>
      <c r="AC20" s="672">
        <v>0.04</v>
      </c>
      <c r="AD20" s="673">
        <v>2.4E-2</v>
      </c>
      <c r="AE20" s="673">
        <v>1.6E-2</v>
      </c>
      <c r="AF20" s="668">
        <v>0.08</v>
      </c>
      <c r="AG20" s="668">
        <v>0.06</v>
      </c>
      <c r="AH20" s="668">
        <v>0.02</v>
      </c>
      <c r="AI20" s="337"/>
      <c r="AJ20" s="667">
        <v>1.05</v>
      </c>
      <c r="AK20" s="667">
        <v>1</v>
      </c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337"/>
      <c r="AZ20" s="337"/>
      <c r="BA20" s="663"/>
      <c r="BB20" s="686">
        <v>0.59150000000000003</v>
      </c>
      <c r="BC20" s="683">
        <v>1.3803038918709611</v>
      </c>
      <c r="BD20" s="664"/>
      <c r="BE20" s="687">
        <v>7.4700000000000003E-2</v>
      </c>
      <c r="BF20" s="687">
        <v>0.16639810231463342</v>
      </c>
      <c r="BG20" s="664"/>
      <c r="BH20" s="687">
        <v>7.8892366420359877E-2</v>
      </c>
      <c r="BI20" s="687">
        <v>0.16753539652577545</v>
      </c>
      <c r="BJ20" s="661"/>
      <c r="BK20" s="366"/>
      <c r="BL20" s="666">
        <v>1972</v>
      </c>
      <c r="BM20" s="660"/>
      <c r="BN20" s="661"/>
      <c r="BO20" s="79"/>
      <c r="BP20" s="79"/>
      <c r="BQ20" s="79"/>
      <c r="BR20" s="79"/>
      <c r="BS20" s="79"/>
      <c r="BT20" s="79"/>
      <c r="BU20" s="366"/>
      <c r="BV20" s="666">
        <v>1972</v>
      </c>
      <c r="BW20" s="660"/>
      <c r="BX20" s="661"/>
      <c r="BY20" s="79"/>
      <c r="BZ20" s="79"/>
      <c r="CA20" s="79"/>
      <c r="CB20" s="79"/>
      <c r="CC20" s="79"/>
      <c r="CD20" s="79"/>
      <c r="CE20" s="665"/>
      <c r="CG20" s="666">
        <v>1972</v>
      </c>
      <c r="CH20" s="676"/>
      <c r="CI20" s="665"/>
      <c r="CJ20" s="336"/>
      <c r="CK20" s="336"/>
      <c r="CL20" s="697">
        <v>3.5000000000000003E-2</v>
      </c>
      <c r="CM20" s="673">
        <v>8.0000000000000004E-4</v>
      </c>
      <c r="CN20" s="673"/>
      <c r="CO20" s="698">
        <v>1.6000000000000001E-4</v>
      </c>
    </row>
    <row r="21" spans="1:93" s="361" customFormat="1" hidden="1" x14ac:dyDescent="0.25">
      <c r="A21" s="666">
        <v>1973</v>
      </c>
      <c r="B21" s="54">
        <f>IF($F$1=1.8%,LOOKUP($A21,Prix!B$6:B$127,Prix!$G$6:$G$127),IF($F$1=1.5%,LOOKUP($A21,Prix!B$6:B$127,Prix!$H$6:$H$127),IF($F$1=1.3%,LOOKUP($A21,Prix!B$6:B$127,Prix!$I$6:$I$127),LOOKUP($A21,Prix!B$6:B$127,Prix!$J$6:$J$127))))</f>
        <v>9.2269326683291908E-2</v>
      </c>
      <c r="C21" s="7">
        <f t="shared" si="0"/>
        <v>0.15315573379165476</v>
      </c>
      <c r="D21" s="56">
        <f>IF($F$1=1.8%,LOOKUP($A21,SMPT!$B$6:$B$127,SMPT!$C$6:$C$127),IF($F$1=1.5%,LOOKUP($A21,SMPT!$B$6:$B$127,SMPT!$D$6:$D$127),IF($F$1=1.3%,LOOKUP($A21,SMPT!$B$6:$B$127,SMPT!$E$6:$E$127),LOOKUP($A21,SMPT!$B$6:$B$127,SMPT!$F$6:$F$127))))</f>
        <v>4274.6969122529154</v>
      </c>
      <c r="E21" s="58">
        <f t="shared" si="3"/>
        <v>0.12067652097574078</v>
      </c>
      <c r="F21" s="56">
        <f>IF($F$1=1.8%,LOOKUP($A21,SMIC!$B$6:$B$125,SMIC!$C$6:$C$125),IF($F$1=1.5%,LOOKUP($A21,SMIC!$B$6:$B$125,SMIC!$D$6:$D$125),IF($F$1=1.3%,LOOKUP($A21,SMIC!$B$6:$B$125,SMIC!$E$6:$E$125),LOOKUP($A21,SMIC!$B$6:$B$125,SMIC!$F$6:$F$125))))</f>
        <v>1570.9616448505512</v>
      </c>
      <c r="G21" s="153">
        <f t="shared" si="1"/>
        <v>0.11638464844760568</v>
      </c>
      <c r="H21" s="357">
        <f t="shared" si="4"/>
        <v>0.11475409836065564</v>
      </c>
      <c r="I21" s="666">
        <v>1973</v>
      </c>
      <c r="J21" s="662"/>
      <c r="K21" s="668">
        <f t="shared" si="6"/>
        <v>8.7499999999999994E-2</v>
      </c>
      <c r="L21" s="668">
        <v>5.7500000000000002E-2</v>
      </c>
      <c r="M21" s="668">
        <v>0.03</v>
      </c>
      <c r="N21" s="668">
        <f t="shared" si="7"/>
        <v>0</v>
      </c>
      <c r="O21" s="668">
        <f>IF(Simulation!$D$43="Oui",$Q21,0)</f>
        <v>0</v>
      </c>
      <c r="P21" s="668">
        <f>IF(Simulation!$D$43="Oui",$R21,0)</f>
        <v>0</v>
      </c>
      <c r="Q21" s="677">
        <v>0</v>
      </c>
      <c r="R21" s="677">
        <v>0</v>
      </c>
      <c r="S21" s="56">
        <f>IF($F$1=1.8%,LOOKUP($A21,Sal_valid!$B$6:$B$127,Sal_valid!$C$6:$C$127),IF($F$1=1.5%,LOOKUP($A21,Sal_valid!$B$6:$B$127,Sal_valid!$D$6:$D$127),IF($F$1=1.3%,LOOKUP($A21,Sal_valid!$B$6:$B$127,Sal_valid!$E$6:$E$127),LOOKUP($A21,Sal_valid!$B$6:$B$127,Sal_valid!$F$6:$F$127))))</f>
        <v>138.72860568604344</v>
      </c>
      <c r="T21" s="73">
        <f>Revalo_RB!$D33</f>
        <v>0.13418474457662688</v>
      </c>
      <c r="U21" s="73">
        <f>Revalo_RB!$H33</f>
        <v>0.11969082995647584</v>
      </c>
      <c r="V21" s="56">
        <f>IF($F$1=1.8%,LOOKUP($A21,PSS!$B$6:$B$127,PSS!$C$6:$C$127),IF($F$1=1.5%,LOOKUP($A21,PSS!$B$6:$B$127,PSS!$D$6:$D$127),IF($F$1=1.3%,LOOKUP($A21,PSS!$B$6:$B$127,PSS!$E$6:$E$127),LOOKUP($A21,PSS!$B$6:$B$127,PSS!$F$6:$F$127))))</f>
        <v>3731.9519419718063</v>
      </c>
      <c r="W21" s="56">
        <f>IF($F$1=1.8%,LOOKUP($A21,Smic_AVPF!$B$6:$B$104,Smic_AVPF!$C$6:$C$104),IF($F$1=1.5%,LOOKUP($A21,Smic_AVPF!$B$6:$B$104,Smic_AVPF!$D$6:$D$104),IF($F$1=1.3%,LOOKUP($A21,Smic_AVPF!$B$6:$B$104,Smic_AVPF!$E$6:$E$104),LOOKUP($A21,Smic_AVPF!$B$6:$B$104,Smic_AVPF!$F$6:$F$104))))</f>
        <v>1363.4796183286408</v>
      </c>
      <c r="X21" s="56"/>
      <c r="Y21" s="56"/>
      <c r="Z21" s="56"/>
      <c r="AA21" s="337"/>
      <c r="AB21" s="666">
        <v>1973</v>
      </c>
      <c r="AC21" s="672">
        <v>0.04</v>
      </c>
      <c r="AD21" s="673">
        <v>2.4E-2</v>
      </c>
      <c r="AE21" s="673">
        <v>1.6E-2</v>
      </c>
      <c r="AF21" s="668">
        <v>0.08</v>
      </c>
      <c r="AG21" s="668">
        <v>0.06</v>
      </c>
      <c r="AH21" s="668">
        <v>0.02</v>
      </c>
      <c r="AI21" s="337"/>
      <c r="AJ21" s="667">
        <v>1.075</v>
      </c>
      <c r="AK21" s="667">
        <v>1</v>
      </c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663"/>
      <c r="BB21" s="686">
        <v>0.64790999999999999</v>
      </c>
      <c r="BC21" s="683">
        <v>1.562221304140363</v>
      </c>
      <c r="BD21" s="664"/>
      <c r="BE21" s="687">
        <v>8.5371000000000002E-2</v>
      </c>
      <c r="BF21" s="687">
        <v>0.18496639261415002</v>
      </c>
      <c r="BG21" s="664"/>
      <c r="BH21" s="687">
        <v>8.842042999769803E-2</v>
      </c>
      <c r="BI21" s="687">
        <v>0.18624910031770456</v>
      </c>
      <c r="BJ21" s="661"/>
      <c r="BK21" s="366"/>
      <c r="BL21" s="666">
        <v>1973</v>
      </c>
      <c r="BM21" s="660"/>
      <c r="BN21" s="661"/>
      <c r="BO21" s="79"/>
      <c r="BP21" s="79"/>
      <c r="BQ21" s="79"/>
      <c r="BR21" s="79"/>
      <c r="BS21" s="79"/>
      <c r="BT21" s="79"/>
      <c r="BU21" s="366"/>
      <c r="BV21" s="666">
        <v>1973</v>
      </c>
      <c r="BW21" s="660"/>
      <c r="BX21" s="661"/>
      <c r="BY21" s="79"/>
      <c r="BZ21" s="79"/>
      <c r="CA21" s="79"/>
      <c r="CB21" s="79"/>
      <c r="CC21" s="79"/>
      <c r="CD21" s="79"/>
      <c r="CE21" s="665"/>
      <c r="CG21" s="666">
        <v>1973</v>
      </c>
      <c r="CH21" s="676"/>
      <c r="CI21" s="665"/>
      <c r="CJ21" s="336"/>
      <c r="CK21" s="336"/>
      <c r="CL21" s="697">
        <v>3.5000000000000003E-2</v>
      </c>
      <c r="CM21" s="673">
        <v>1.4000000000000002E-3</v>
      </c>
      <c r="CN21" s="673"/>
      <c r="CO21" s="698">
        <v>1.6000000000000001E-4</v>
      </c>
    </row>
    <row r="22" spans="1:93" s="361" customFormat="1" hidden="1" x14ac:dyDescent="0.25">
      <c r="A22" s="666">
        <v>1974</v>
      </c>
      <c r="B22" s="54">
        <f>IF($F$1=1.8%,LOOKUP($A22,Prix!B$6:B$127,Prix!$G$6:$G$127),IF($F$1=1.5%,LOOKUP($A22,Prix!B$6:B$127,Prix!$H$6:$H$127),IF($F$1=1.3%,LOOKUP($A22,Prix!B$6:B$127,Prix!$I$6:$I$127),LOOKUP($A22,Prix!B$6:B$127,Prix!$J$6:$J$127))))</f>
        <v>0.13755707762557079</v>
      </c>
      <c r="C22" s="7">
        <f t="shared" si="0"/>
        <v>0.16728731022629623</v>
      </c>
      <c r="D22" s="56">
        <f>IF($F$1=1.8%,LOOKUP($A22,SMPT!$B$6:$B$127,SMPT!$C$6:$C$127),IF($F$1=1.5%,LOOKUP($A22,SMPT!$B$6:$B$127,SMPT!$D$6:$D$127),IF($F$1=1.3%,LOOKUP($A22,SMPT!$B$6:$B$127,SMPT!$E$6:$E$127),LOOKUP($A22,SMPT!$B$6:$B$127,SMPT!$F$6:$F$127))))</f>
        <v>4941.8896153737423</v>
      </c>
      <c r="E22" s="58">
        <f t="shared" si="3"/>
        <v>0.15607953424917631</v>
      </c>
      <c r="F22" s="56">
        <f>IF($F$1=1.8%,LOOKUP($A22,SMIC!$B$6:$B$125,SMIC!$C$6:$C$125),IF($F$1=1.5%,LOOKUP($A22,SMIC!$B$6:$B$125,SMIC!$D$6:$D$125),IF($F$1=1.3%,LOOKUP($A22,SMIC!$B$6:$B$125,SMIC!$E$6:$E$125),LOOKUP($A22,SMIC!$B$6:$B$125,SMIC!$F$6:$F$125))))</f>
        <v>1934.724881001534</v>
      </c>
      <c r="G22" s="153">
        <f t="shared" si="1"/>
        <v>0.1345499101710621</v>
      </c>
      <c r="H22" s="357">
        <f t="shared" si="4"/>
        <v>0.13725490196078427</v>
      </c>
      <c r="I22" s="666">
        <v>1974</v>
      </c>
      <c r="J22" s="662"/>
      <c r="K22" s="668">
        <f t="shared" si="6"/>
        <v>0.10249999999999999</v>
      </c>
      <c r="L22" s="668">
        <v>7.2499999999999995E-2</v>
      </c>
      <c r="M22" s="668">
        <v>0.03</v>
      </c>
      <c r="N22" s="668">
        <f t="shared" si="7"/>
        <v>0</v>
      </c>
      <c r="O22" s="668">
        <f>IF(Simulation!$D$43="Oui",$Q22,0)</f>
        <v>0</v>
      </c>
      <c r="P22" s="668">
        <f>IF(Simulation!$D$43="Oui",$R22,0)</f>
        <v>0</v>
      </c>
      <c r="Q22" s="677">
        <v>0</v>
      </c>
      <c r="R22" s="677">
        <v>0</v>
      </c>
      <c r="S22" s="56">
        <f>IF($F$1=1.8%,LOOKUP($A22,Sal_valid!$B$6:$B$127,Sal_valid!$C$6:$C$127),IF($F$1=1.5%,LOOKUP($A22,Sal_valid!$B$6:$B$127,Sal_valid!$D$6:$D$127),IF($F$1=1.3%,LOOKUP($A22,Sal_valid!$B$6:$B$127,Sal_valid!$E$6:$E$127),LOOKUP($A22,Sal_valid!$B$6:$B$127,Sal_valid!$F$6:$F$127))))</f>
        <v>165.55963271982768</v>
      </c>
      <c r="T22" s="73">
        <f>Revalo_RB!$D34</f>
        <v>0.18786367414796334</v>
      </c>
      <c r="U22" s="73">
        <f>Revalo_RB!$H34</f>
        <v>0.15938107365458043</v>
      </c>
      <c r="V22" s="56">
        <f>IF($F$1=1.8%,LOOKUP($A22,PSS!$B$6:$B$127,PSS!$C$6:$C$127),IF($F$1=1.5%,LOOKUP($A22,PSS!$B$6:$B$127,PSS!$D$6:$D$127),IF($F$1=1.3%,LOOKUP($A22,PSS!$B$6:$B$127,PSS!$E$6:$E$127),LOOKUP($A22,PSS!$B$6:$B$127,PSS!$F$6:$F$127))))</f>
        <v>4244.1806398895051</v>
      </c>
      <c r="W22" s="56">
        <f>IF($F$1=1.8%,LOOKUP($A22,Smic_AVPF!$B$6:$B$104,Smic_AVPF!$C$6:$C$104),IF($F$1=1.5%,LOOKUP($A22,Smic_AVPF!$B$6:$B$104,Smic_AVPF!$D$6:$D$104),IF($F$1=1.3%,LOOKUP($A22,Smic_AVPF!$B$6:$B$104,Smic_AVPF!$E$6:$E$104),LOOKUP($A22,Smic_AVPF!$B$6:$B$104,Smic_AVPF!$F$6:$F$104))))</f>
        <v>1648.8641785970731</v>
      </c>
      <c r="X22" s="56"/>
      <c r="Y22" s="56"/>
      <c r="Z22" s="56"/>
      <c r="AA22" s="337"/>
      <c r="AB22" s="666">
        <v>1974</v>
      </c>
      <c r="AC22" s="672">
        <v>0.04</v>
      </c>
      <c r="AD22" s="673">
        <v>2.4E-2</v>
      </c>
      <c r="AE22" s="673">
        <v>1.6E-2</v>
      </c>
      <c r="AF22" s="668">
        <v>0.08</v>
      </c>
      <c r="AG22" s="668">
        <v>0.06</v>
      </c>
      <c r="AH22" s="668">
        <v>0.02</v>
      </c>
      <c r="AI22" s="337"/>
      <c r="AJ22" s="667">
        <v>1.1000000000000001</v>
      </c>
      <c r="AK22" s="667">
        <v>1</v>
      </c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663"/>
      <c r="BB22" s="686">
        <v>0.73328000000000004</v>
      </c>
      <c r="BC22" s="683">
        <v>1.8120242637855837</v>
      </c>
      <c r="BD22" s="664"/>
      <c r="BE22" s="687">
        <v>9.4518000000000005E-2</v>
      </c>
      <c r="BF22" s="687">
        <v>0.21580682880127813</v>
      </c>
      <c r="BG22" s="664"/>
      <c r="BH22" s="687">
        <v>9.8710738661223221E-2</v>
      </c>
      <c r="BI22" s="687">
        <v>0.21731545025069768</v>
      </c>
      <c r="BJ22" s="661"/>
      <c r="BK22" s="366"/>
      <c r="BL22" s="666">
        <v>1974</v>
      </c>
      <c r="BM22" s="660"/>
      <c r="BN22" s="661"/>
      <c r="BO22" s="79"/>
      <c r="BP22" s="79"/>
      <c r="BQ22" s="79"/>
      <c r="BR22" s="79"/>
      <c r="BS22" s="79"/>
      <c r="BT22" s="79"/>
      <c r="BU22" s="366"/>
      <c r="BV22" s="666">
        <v>1974</v>
      </c>
      <c r="BW22" s="660"/>
      <c r="BX22" s="661"/>
      <c r="BY22" s="79"/>
      <c r="BZ22" s="79"/>
      <c r="CA22" s="79"/>
      <c r="CB22" s="79"/>
      <c r="CC22" s="79"/>
      <c r="CD22" s="79"/>
      <c r="CE22" s="665"/>
      <c r="CG22" s="666">
        <v>1974</v>
      </c>
      <c r="CH22" s="676"/>
      <c r="CI22" s="665"/>
      <c r="CJ22" s="336"/>
      <c r="CK22" s="336"/>
      <c r="CL22" s="697">
        <v>3.5000000000000003E-2</v>
      </c>
      <c r="CM22" s="673">
        <v>1.6000000000000001E-3</v>
      </c>
      <c r="CN22" s="673"/>
      <c r="CO22" s="698">
        <v>1.6000000000000001E-4</v>
      </c>
    </row>
    <row r="23" spans="1:93" s="361" customFormat="1" hidden="1" x14ac:dyDescent="0.25">
      <c r="A23" s="666">
        <v>1975</v>
      </c>
      <c r="B23" s="54">
        <f>IF($F$1=1.8%,LOOKUP($A23,Prix!B$6:B$127,Prix!$G$6:$G$127),IF($F$1=1.5%,LOOKUP($A23,Prix!B$6:B$127,Prix!$H$6:$H$127),IF($F$1=1.3%,LOOKUP($A23,Prix!B$6:B$127,Prix!$I$6:$I$127),LOOKUP($A23,Prix!B$6:B$127,Prix!$J$6:$J$127))))</f>
        <v>0.11741093828399407</v>
      </c>
      <c r="C23" s="7">
        <f t="shared" si="0"/>
        <v>0.19029886374486779</v>
      </c>
      <c r="D23" s="56">
        <f>IF($F$1=1.8%,LOOKUP($A23,SMPT!$B$6:$B$127,SMPT!$C$6:$C$127),IF($F$1=1.5%,LOOKUP($A23,SMPT!$B$6:$B$127,SMPT!$D$6:$D$127),IF($F$1=1.3%,LOOKUP($A23,SMPT!$B$6:$B$127,SMPT!$E$6:$E$127),LOOKUP($A23,SMPT!$B$6:$B$127,SMPT!$F$6:$F$127))))</f>
        <v>5679.6724123373397</v>
      </c>
      <c r="E23" s="58">
        <f t="shared" si="3"/>
        <v>0.14929163829730752</v>
      </c>
      <c r="F23" s="56">
        <f>IF($F$1=1.8%,LOOKUP($A23,SMIC!$B$6:$B$125,SMIC!$C$6:$C$125),IF($F$1=1.5%,LOOKUP($A23,SMIC!$B$6:$B$125,SMIC!$D$6:$D$125),IF($F$1=1.3%,LOOKUP($A23,SMIC!$B$6:$B$125,SMIC!$E$6:$E$125),LOOKUP($A23,SMIC!$B$6:$B$125,SMIC!$F$6:$F$125))))</f>
        <v>2306.6804349708777</v>
      </c>
      <c r="G23" s="153">
        <f t="shared" si="1"/>
        <v>0.15463708669325552</v>
      </c>
      <c r="H23" s="357">
        <f t="shared" si="4"/>
        <v>0.18534482758620685</v>
      </c>
      <c r="I23" s="666">
        <v>1975</v>
      </c>
      <c r="J23" s="662"/>
      <c r="K23" s="668">
        <f t="shared" si="6"/>
        <v>0.10249999999999999</v>
      </c>
      <c r="L23" s="668">
        <v>7.2499999999999995E-2</v>
      </c>
      <c r="M23" s="668">
        <v>0.03</v>
      </c>
      <c r="N23" s="668">
        <f t="shared" si="7"/>
        <v>0</v>
      </c>
      <c r="O23" s="668">
        <f>IF(Simulation!$D$43="Oui",$Q23,0)</f>
        <v>0</v>
      </c>
      <c r="P23" s="668">
        <f>IF(Simulation!$D$43="Oui",$R23,0)</f>
        <v>0</v>
      </c>
      <c r="Q23" s="677">
        <v>0</v>
      </c>
      <c r="R23" s="677">
        <v>0</v>
      </c>
      <c r="S23" s="56">
        <f>IF($F$1=1.8%,LOOKUP($A23,Sal_valid!$B$6:$B$127,Sal_valid!$C$6:$C$127),IF($F$1=1.5%,LOOKUP($A23,Sal_valid!$B$6:$B$127,Sal_valid!$D$6:$D$127),IF($F$1=1.3%,LOOKUP($A23,Sal_valid!$B$6:$B$127,Sal_valid!$E$6:$E$127),LOOKUP($A23,Sal_valid!$B$6:$B$127,Sal_valid!$F$6:$F$127))))</f>
        <v>205.80617327050402</v>
      </c>
      <c r="T23" s="73">
        <f>Revalo_RB!$D35</f>
        <v>0.17681584739545109</v>
      </c>
      <c r="U23" s="73">
        <f>Revalo_RB!$H35</f>
        <v>9.8812801225495184E-2</v>
      </c>
      <c r="V23" s="56">
        <f>IF($F$1=1.8%,LOOKUP($A23,PSS!$B$6:$B$127,PSS!$C$6:$C$127),IF($F$1=1.5%,LOOKUP($A23,PSS!$B$6:$B$127,PSS!$D$6:$D$127),IF($F$1=1.3%,LOOKUP($A23,PSS!$B$6:$B$127,PSS!$E$6:$E$127),LOOKUP($A23,PSS!$B$6:$B$127,PSS!$F$6:$F$127))))</f>
        <v>5030.8175688345427</v>
      </c>
      <c r="W23" s="56">
        <f>IF($F$1=1.8%,LOOKUP($A23,Smic_AVPF!$B$6:$B$104,Smic_AVPF!$C$6:$C$104),IF($F$1=1.5%,LOOKUP($A23,Smic_AVPF!$B$6:$B$104,Smic_AVPF!$D$6:$D$104),IF($F$1=1.3%,LOOKUP($A23,Smic_AVPF!$B$6:$B$104,Smic_AVPF!$E$6:$E$104),LOOKUP($A23,Smic_AVPF!$B$6:$B$104,Smic_AVPF!$F$6:$F$104))))</f>
        <v>2029.3586317395805</v>
      </c>
      <c r="X23" s="56"/>
      <c r="Y23" s="56"/>
      <c r="Z23" s="56"/>
      <c r="AA23" s="337"/>
      <c r="AB23" s="666">
        <v>1975</v>
      </c>
      <c r="AC23" s="672">
        <v>0.04</v>
      </c>
      <c r="AD23" s="673">
        <v>2.4E-2</v>
      </c>
      <c r="AE23" s="673">
        <v>1.6E-2</v>
      </c>
      <c r="AF23" s="668">
        <v>0.08</v>
      </c>
      <c r="AG23" s="668">
        <v>0.06</v>
      </c>
      <c r="AH23" s="668">
        <v>0.02</v>
      </c>
      <c r="AI23" s="337"/>
      <c r="AJ23" s="667">
        <v>1.1000000000000001</v>
      </c>
      <c r="AK23" s="667">
        <v>1</v>
      </c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663"/>
      <c r="BB23" s="686">
        <v>0.84457000000000004</v>
      </c>
      <c r="BC23" s="683">
        <v>2.0497532612656011</v>
      </c>
      <c r="BD23" s="664"/>
      <c r="BE23" s="687">
        <v>0.109763</v>
      </c>
      <c r="BF23" s="687">
        <v>0.24769916320734439</v>
      </c>
      <c r="BG23" s="664"/>
      <c r="BH23" s="687">
        <v>0.11250737472120886</v>
      </c>
      <c r="BI23" s="687">
        <v>0.24939121070770065</v>
      </c>
      <c r="BJ23" s="661"/>
      <c r="BK23" s="366"/>
      <c r="BL23" s="666">
        <v>1975</v>
      </c>
      <c r="BM23" s="660"/>
      <c r="BN23" s="661"/>
      <c r="BO23" s="79"/>
      <c r="BP23" s="79"/>
      <c r="BQ23" s="79"/>
      <c r="BR23" s="79"/>
      <c r="BS23" s="79"/>
      <c r="BT23" s="79"/>
      <c r="BU23" s="366"/>
      <c r="BV23" s="666">
        <v>1975</v>
      </c>
      <c r="BW23" s="660"/>
      <c r="BX23" s="661"/>
      <c r="BY23" s="79"/>
      <c r="BZ23" s="79"/>
      <c r="CA23" s="79"/>
      <c r="CB23" s="79"/>
      <c r="CC23" s="79"/>
      <c r="CD23" s="79"/>
      <c r="CE23" s="665"/>
      <c r="CG23" s="666">
        <v>1975</v>
      </c>
      <c r="CH23" s="676"/>
      <c r="CI23" s="665"/>
      <c r="CJ23" s="336"/>
      <c r="CK23" s="336"/>
      <c r="CL23" s="697">
        <v>3.5000000000000003E-2</v>
      </c>
      <c r="CM23" s="673">
        <v>4.1999999999999997E-3</v>
      </c>
      <c r="CN23" s="673">
        <v>2.3999999999999998E-3</v>
      </c>
      <c r="CO23" s="674">
        <v>2.4000000000000001E-4</v>
      </c>
    </row>
    <row r="24" spans="1:93" s="361" customFormat="1" hidden="1" x14ac:dyDescent="0.25">
      <c r="A24" s="666">
        <v>1976</v>
      </c>
      <c r="B24" s="54">
        <f>IF($F$1=1.8%,LOOKUP($A24,Prix!B$6:B$127,Prix!$G$6:$G$127),IF($F$1=1.5%,LOOKUP($A24,Prix!B$6:B$127,Prix!$H$6:$H$127),IF($F$1=1.3%,LOOKUP($A24,Prix!B$6:B$127,Prix!$I$6:$I$127),LOOKUP($A24,Prix!B$6:B$127,Prix!$J$6:$J$127))))</f>
        <v>9.6542433767400126E-2</v>
      </c>
      <c r="C24" s="7">
        <f t="shared" si="0"/>
        <v>0.21264203189153066</v>
      </c>
      <c r="D24" s="56">
        <f>IF($F$1=1.8%,LOOKUP($A24,SMPT!$B$6:$B$127,SMPT!$C$6:$C$127),IF($F$1=1.5%,LOOKUP($A24,SMPT!$B$6:$B$127,SMPT!$D$6:$D$127),IF($F$1=1.3%,LOOKUP($A24,SMPT!$B$6:$B$127,SMPT!$E$6:$E$127),LOOKUP($A24,SMPT!$B$6:$B$127,SMPT!$F$6:$F$127))))</f>
        <v>6427.2415877597805</v>
      </c>
      <c r="E24" s="58">
        <f t="shared" si="3"/>
        <v>0.13162188259283703</v>
      </c>
      <c r="F24" s="56">
        <f>IF($F$1=1.8%,LOOKUP($A24,SMIC!$B$6:$B$125,SMIC!$C$6:$C$125),IF($F$1=1.5%,LOOKUP($A24,SMIC!$B$6:$B$125,SMIC!$D$6:$D$125),IF($F$1=1.3%,LOOKUP($A24,SMIC!$B$6:$B$125,SMIC!$E$6:$E$125),LOOKUP($A24,SMIC!$B$6:$B$125,SMIC!$F$6:$F$125))))</f>
        <v>2646.0277688300757</v>
      </c>
      <c r="G24" s="153">
        <f t="shared" si="1"/>
        <v>0.17499071116249357</v>
      </c>
      <c r="H24" s="357">
        <f t="shared" si="4"/>
        <v>0.14909090909090894</v>
      </c>
      <c r="I24" s="666">
        <v>1976</v>
      </c>
      <c r="J24" s="662"/>
      <c r="K24" s="668">
        <f t="shared" si="6"/>
        <v>0.105</v>
      </c>
      <c r="L24" s="668">
        <v>7.2499999999999995E-2</v>
      </c>
      <c r="M24" s="668">
        <v>3.2500000000000001E-2</v>
      </c>
      <c r="N24" s="668">
        <f t="shared" si="7"/>
        <v>0</v>
      </c>
      <c r="O24" s="668">
        <f>IF(Simulation!$D$43="Oui",$Q24,0)</f>
        <v>0</v>
      </c>
      <c r="P24" s="668">
        <f>IF(Simulation!$D$43="Oui",$R24,0)</f>
        <v>0</v>
      </c>
      <c r="Q24" s="677">
        <v>0</v>
      </c>
      <c r="R24" s="677">
        <v>0</v>
      </c>
      <c r="S24" s="56">
        <f>IF($F$1=1.8%,LOOKUP($A24,Sal_valid!$B$6:$B$127,Sal_valid!$C$6:$C$127),IF($F$1=1.5%,LOOKUP($A24,Sal_valid!$B$6:$B$127,Sal_valid!$D$6:$D$127),IF($F$1=1.3%,LOOKUP($A24,Sal_valid!$B$6:$B$127,Sal_valid!$E$6:$E$127),LOOKUP($A24,Sal_valid!$B$6:$B$127,Sal_valid!$F$6:$F$127))))</f>
        <v>240.56454920063359</v>
      </c>
      <c r="T24" s="73">
        <f>Revalo_RB!$D36</f>
        <v>0.15934221718174091</v>
      </c>
      <c r="U24" s="73">
        <f>Revalo_RB!$H36</f>
        <v>0.1046637030802009</v>
      </c>
      <c r="V24" s="56">
        <f>IF($F$1=1.8%,LOOKUP($A24,PSS!$B$6:$B$127,PSS!$C$6:$C$127),IF($F$1=1.5%,LOOKUP($A24,PSS!$B$6:$B$127,PSS!$D$6:$D$127),IF($F$1=1.3%,LOOKUP($A24,PSS!$B$6:$B$127,PSS!$E$6:$E$127),LOOKUP($A24,PSS!$B$6:$B$127,PSS!$F$6:$F$127))))</f>
        <v>5780.8667336426015</v>
      </c>
      <c r="W24" s="56">
        <f>IF($F$1=1.8%,LOOKUP($A24,Smic_AVPF!$B$6:$B$104,Smic_AVPF!$C$6:$C$104),IF($F$1=1.5%,LOOKUP($A24,Smic_AVPF!$B$6:$B$104,Smic_AVPF!$D$6:$D$104),IF($F$1=1.3%,LOOKUP($A24,Smic_AVPF!$B$6:$B$104,Smic_AVPF!$E$6:$E$104),LOOKUP($A24,Smic_AVPF!$B$6:$B$104,Smic_AVPF!$F$6:$F$104))))</f>
        <v>2394.0105830107768</v>
      </c>
      <c r="X24" s="56"/>
      <c r="Y24" s="56"/>
      <c r="Z24" s="56"/>
      <c r="AA24" s="337"/>
      <c r="AB24" s="666">
        <v>1976</v>
      </c>
      <c r="AC24" s="672">
        <v>0.04</v>
      </c>
      <c r="AD24" s="673">
        <v>2.4E-2</v>
      </c>
      <c r="AE24" s="673">
        <v>1.6E-2</v>
      </c>
      <c r="AF24" s="668">
        <v>0.08</v>
      </c>
      <c r="AG24" s="668">
        <v>0.06</v>
      </c>
      <c r="AH24" s="668">
        <v>0.02</v>
      </c>
      <c r="AI24" s="337"/>
      <c r="AJ24" s="667">
        <v>1.1000000000000001</v>
      </c>
      <c r="AK24" s="667">
        <v>1</v>
      </c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663"/>
      <c r="BB24" s="686">
        <v>0.93298999999999999</v>
      </c>
      <c r="BC24" s="683">
        <v>2.3443152523717257</v>
      </c>
      <c r="BD24" s="664"/>
      <c r="BE24" s="687">
        <v>0.123484</v>
      </c>
      <c r="BF24" s="687">
        <v>0.28477476419948261</v>
      </c>
      <c r="BG24" s="664"/>
      <c r="BH24" s="687">
        <v>0.12653268430705061</v>
      </c>
      <c r="BI24" s="687">
        <v>0.28672507495064342</v>
      </c>
      <c r="BJ24" s="661"/>
      <c r="BK24" s="366"/>
      <c r="BL24" s="666">
        <v>1976</v>
      </c>
      <c r="BM24" s="660"/>
      <c r="BN24" s="661"/>
      <c r="BO24" s="79"/>
      <c r="BP24" s="79"/>
      <c r="BQ24" s="79"/>
      <c r="BR24" s="79"/>
      <c r="BS24" s="79"/>
      <c r="BT24" s="79"/>
      <c r="BU24" s="366"/>
      <c r="BV24" s="666">
        <v>1976</v>
      </c>
      <c r="BW24" s="660"/>
      <c r="BX24" s="661"/>
      <c r="BY24" s="79"/>
      <c r="BZ24" s="79"/>
      <c r="CA24" s="6"/>
      <c r="CB24" s="79"/>
      <c r="CC24" s="79"/>
      <c r="CD24" s="79"/>
      <c r="CE24" s="665"/>
      <c r="CG24" s="666">
        <v>1976</v>
      </c>
      <c r="CH24" s="676"/>
      <c r="CI24" s="665"/>
      <c r="CJ24" s="336"/>
      <c r="CK24" s="336"/>
      <c r="CL24" s="697">
        <v>4.1299999999999996E-2</v>
      </c>
      <c r="CM24" s="673">
        <v>4.7999999999999996E-3</v>
      </c>
      <c r="CN24" s="673">
        <v>4.7999999999999996E-3</v>
      </c>
      <c r="CO24" s="674">
        <v>2.4000000000000001E-4</v>
      </c>
    </row>
    <row r="25" spans="1:93" s="361" customFormat="1" hidden="1" x14ac:dyDescent="0.25">
      <c r="A25" s="666">
        <v>1977</v>
      </c>
      <c r="B25" s="54">
        <f>IF($F$1=1.8%,LOOKUP($A25,Prix!B$6:B$127,Prix!$G$6:$G$127),IF($F$1=1.5%,LOOKUP($A25,Prix!B$6:B$127,Prix!$H$6:$H$127),IF($F$1=1.3%,LOOKUP($A25,Prix!B$6:B$127,Prix!$I$6:$I$127),LOOKUP($A25,Prix!B$6:B$127,Prix!$J$6:$J$127))))</f>
        <v>9.3366093366093361E-2</v>
      </c>
      <c r="C25" s="7">
        <f t="shared" si="0"/>
        <v>0.23317101117158415</v>
      </c>
      <c r="D25" s="56">
        <f>IF($F$1=1.8%,LOOKUP($A25,SMPT!$B$6:$B$127,SMPT!$C$6:$C$127),IF($F$1=1.5%,LOOKUP($A25,SMPT!$B$6:$B$127,SMPT!$D$6:$D$127),IF($F$1=1.3%,LOOKUP($A25,SMPT!$B$6:$B$127,SMPT!$E$6:$E$127),LOOKUP($A25,SMPT!$B$6:$B$127,SMPT!$F$6:$F$127))))</f>
        <v>7156.860082498416</v>
      </c>
      <c r="E25" s="58">
        <f t="shared" si="3"/>
        <v>0.11351969344487389</v>
      </c>
      <c r="F25" s="56">
        <f>IF($F$1=1.8%,LOOKUP($A25,SMIC!$B$6:$B$125,SMIC!$C$6:$C$125),IF($F$1=1.5%,LOOKUP($A25,SMIC!$B$6:$B$125,SMIC!$D$6:$D$125),IF($F$1=1.3%,LOOKUP($A25,SMIC!$B$6:$B$125,SMIC!$E$6:$E$125),LOOKUP($A25,SMIC!$B$6:$B$125,SMIC!$F$6:$F$125))))</f>
        <v>2982.203498512818</v>
      </c>
      <c r="G25" s="153">
        <f t="shared" si="1"/>
        <v>0.19485560304936034</v>
      </c>
      <c r="H25" s="357">
        <f t="shared" si="4"/>
        <v>0.14240506329113933</v>
      </c>
      <c r="I25" s="666">
        <v>1977</v>
      </c>
      <c r="J25" s="662"/>
      <c r="K25" s="668">
        <f t="shared" si="6"/>
        <v>0.11</v>
      </c>
      <c r="L25" s="668">
        <v>7.5499999999999998E-2</v>
      </c>
      <c r="M25" s="668">
        <v>3.4500000000000003E-2</v>
      </c>
      <c r="N25" s="668">
        <f t="shared" si="7"/>
        <v>0</v>
      </c>
      <c r="O25" s="668">
        <f>IF(Simulation!$D$43="Oui",$Q25,0)</f>
        <v>0</v>
      </c>
      <c r="P25" s="668">
        <f>IF(Simulation!$D$43="Oui",$R25,0)</f>
        <v>0</v>
      </c>
      <c r="Q25" s="677">
        <v>0</v>
      </c>
      <c r="R25" s="677">
        <v>0</v>
      </c>
      <c r="S25" s="56">
        <f>IF($F$1=1.8%,LOOKUP($A25,Sal_valid!$B$6:$B$127,Sal_valid!$C$6:$C$127),IF($F$1=1.5%,LOOKUP($A25,Sal_valid!$B$6:$B$127,Sal_valid!$D$6:$D$127),IF($F$1=1.3%,LOOKUP($A25,Sal_valid!$B$6:$B$127,Sal_valid!$E$6:$E$127),LOOKUP($A25,Sal_valid!$B$6:$B$127,Sal_valid!$F$6:$F$127))))</f>
        <v>272.57884282048974</v>
      </c>
      <c r="T25" s="73">
        <f>Revalo_RB!$D37</f>
        <v>0.11191677175283732</v>
      </c>
      <c r="U25" s="73">
        <f>Revalo_RB!$H37</f>
        <v>0.10944494713782227</v>
      </c>
      <c r="V25" s="56">
        <f>IF($F$1=1.8%,LOOKUP($A25,PSS!$B$6:$B$127,PSS!$C$6:$C$127),IF($F$1=1.5%,LOOKUP($A25,PSS!$B$6:$B$127,PSS!$D$6:$D$127),IF($F$1=1.3%,LOOKUP($A25,PSS!$B$6:$B$127,PSS!$E$6:$E$127),LOOKUP($A25,PSS!$B$6:$B$127,PSS!$F$6:$F$127))))</f>
        <v>6604.091426724618</v>
      </c>
      <c r="W25" s="56">
        <f>IF($F$1=1.8%,LOOKUP($A25,Smic_AVPF!$B$6:$B$104,Smic_AVPF!$C$6:$C$104),IF($F$1=1.5%,LOOKUP($A25,Smic_AVPF!$B$6:$B$104,Smic_AVPF!$D$6:$D$104),IF($F$1=1.3%,LOOKUP($A25,Smic_AVPF!$B$6:$B$104,Smic_AVPF!$E$6:$E$104),LOOKUP($A25,Smic_AVPF!$B$6:$B$104,Smic_AVPF!$F$6:$F$104))))</f>
        <v>2720.6112595795153</v>
      </c>
      <c r="X25" s="56"/>
      <c r="Y25" s="56"/>
      <c r="Z25" s="56"/>
      <c r="AA25" s="337"/>
      <c r="AB25" s="666">
        <v>1977</v>
      </c>
      <c r="AC25" s="672">
        <v>0.04</v>
      </c>
      <c r="AD25" s="673">
        <v>2.4E-2</v>
      </c>
      <c r="AE25" s="673">
        <v>1.6E-2</v>
      </c>
      <c r="AF25" s="668">
        <v>0.08</v>
      </c>
      <c r="AG25" s="668">
        <v>0.06</v>
      </c>
      <c r="AH25" s="668">
        <v>0.02</v>
      </c>
      <c r="AI25" s="337"/>
      <c r="AJ25" s="667">
        <v>1.1000000000000001</v>
      </c>
      <c r="AK25" s="667">
        <v>1</v>
      </c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663"/>
      <c r="BB25" s="686">
        <v>1.0275099999999999</v>
      </c>
      <c r="BC25" s="683">
        <v>2.6057043373269897</v>
      </c>
      <c r="BD25" s="664"/>
      <c r="BE25" s="687">
        <v>0.134765</v>
      </c>
      <c r="BF25" s="687">
        <v>0.31864893582963516</v>
      </c>
      <c r="BG25" s="664"/>
      <c r="BH25" s="687">
        <v>0.1367467684619571</v>
      </c>
      <c r="BI25" s="687">
        <v>0.32081668636227495</v>
      </c>
      <c r="BJ25" s="661"/>
      <c r="BK25" s="366"/>
      <c r="BL25" s="666">
        <v>1977</v>
      </c>
      <c r="BM25" s="660"/>
      <c r="BN25" s="661"/>
      <c r="BO25" s="79"/>
      <c r="BP25" s="79"/>
      <c r="BQ25" s="79"/>
      <c r="BR25" s="79"/>
      <c r="BS25" s="79"/>
      <c r="BT25" s="79"/>
      <c r="BU25" s="366"/>
      <c r="BV25" s="666">
        <v>1977</v>
      </c>
      <c r="BW25" s="660"/>
      <c r="BX25" s="661"/>
      <c r="BY25" s="79"/>
      <c r="BZ25" s="79"/>
      <c r="CA25" s="6"/>
      <c r="CB25" s="79"/>
      <c r="CC25" s="79"/>
      <c r="CD25" s="79"/>
      <c r="CE25" s="665"/>
      <c r="CG25" s="666">
        <v>1977</v>
      </c>
      <c r="CH25" s="676"/>
      <c r="CI25" s="665"/>
      <c r="CJ25" s="336"/>
      <c r="CK25" s="336"/>
      <c r="CL25" s="697">
        <v>4.4999999999999998E-2</v>
      </c>
      <c r="CM25" s="673">
        <v>4.4000000000000003E-3</v>
      </c>
      <c r="CN25" s="673">
        <v>4.4000000000000003E-3</v>
      </c>
      <c r="CO25" s="674">
        <v>2.4000000000000001E-4</v>
      </c>
    </row>
    <row r="26" spans="1:93" s="361" customFormat="1" hidden="1" x14ac:dyDescent="0.25">
      <c r="A26" s="666">
        <v>1978</v>
      </c>
      <c r="B26" s="54">
        <f>IF($F$1=1.8%,LOOKUP($A26,Prix!B$6:B$127,Prix!$G$6:$G$127),IF($F$1=1.5%,LOOKUP($A26,Prix!B$6:B$127,Prix!$H$6:$H$127),IF($F$1=1.3%,LOOKUP($A26,Prix!B$6:B$127,Prix!$I$6:$I$127),LOOKUP($A26,Prix!B$6:B$127,Prix!$J$6:$J$127))))</f>
        <v>9.0636704119850142E-2</v>
      </c>
      <c r="C26" s="7">
        <f t="shared" si="0"/>
        <v>0.25494127757089668</v>
      </c>
      <c r="D26" s="56">
        <f>IF($F$1=1.8%,LOOKUP($A26,SMPT!$B$6:$B$127,SMPT!$C$6:$C$127),IF($F$1=1.5%,LOOKUP($A26,SMPT!$B$6:$B$127,SMPT!$D$6:$D$127),IF($F$1=1.3%,LOOKUP($A26,SMPT!$B$6:$B$127,SMPT!$E$6:$E$127),LOOKUP($A26,SMPT!$B$6:$B$127,SMPT!$F$6:$F$127))))</f>
        <v>8084.0010725647799</v>
      </c>
      <c r="E26" s="58">
        <f t="shared" si="3"/>
        <v>0.12954577557462943</v>
      </c>
      <c r="F26" s="56">
        <f>IF($F$1=1.8%,LOOKUP($A26,SMIC!$B$6:$B$125,SMIC!$C$6:$C$125),IF($F$1=1.5%,LOOKUP($A26,SMIC!$B$6:$B$125,SMIC!$D$6:$D$125),IF($F$1=1.3%,LOOKUP($A26,SMIC!$B$6:$B$125,SMIC!$E$6:$E$125),LOOKUP($A26,SMIC!$B$6:$B$125,SMIC!$F$6:$F$125))))</f>
        <v>3366.6951231204371</v>
      </c>
      <c r="G26" s="153">
        <f t="shared" si="1"/>
        <v>0.22009832327145185</v>
      </c>
      <c r="H26" s="357">
        <f t="shared" si="4"/>
        <v>0.10803324099722977</v>
      </c>
      <c r="I26" s="666">
        <v>1978</v>
      </c>
      <c r="J26" s="662"/>
      <c r="K26" s="668">
        <f t="shared" si="6"/>
        <v>0.1115</v>
      </c>
      <c r="L26" s="668">
        <v>7.6999999999999999E-2</v>
      </c>
      <c r="M26" s="668">
        <v>3.4500000000000003E-2</v>
      </c>
      <c r="N26" s="668">
        <f t="shared" si="7"/>
        <v>0</v>
      </c>
      <c r="O26" s="668">
        <f>IF(Simulation!$D$43="Oui",$Q26,0)</f>
        <v>0</v>
      </c>
      <c r="P26" s="668">
        <f>IF(Simulation!$D$43="Oui",$R26,0)</f>
        <v>0</v>
      </c>
      <c r="Q26" s="677">
        <v>0</v>
      </c>
      <c r="R26" s="677">
        <v>0</v>
      </c>
      <c r="S26" s="56">
        <f>IF($F$1=1.8%,LOOKUP($A26,Sal_valid!$B$6:$B$127,Sal_valid!$C$6:$C$127),IF($F$1=1.5%,LOOKUP($A26,Sal_valid!$B$6:$B$127,Sal_valid!$D$6:$D$127),IF($F$1=1.3%,LOOKUP($A26,Sal_valid!$B$6:$B$127,Sal_valid!$E$6:$E$127),LOOKUP($A26,Sal_valid!$B$6:$B$127,Sal_valid!$F$6:$F$127))))</f>
        <v>306.72742268166968</v>
      </c>
      <c r="T26" s="73">
        <f>Revalo_RB!$D38</f>
        <v>9.6439681991012938E-2</v>
      </c>
      <c r="U26" s="73">
        <f>Revalo_RB!$H38</f>
        <v>0.11051194136363884</v>
      </c>
      <c r="V26" s="56">
        <f>IF($F$1=1.8%,LOOKUP($A26,PSS!$B$6:$B$127,PSS!$C$6:$C$127),IF($F$1=1.5%,LOOKUP($A26,PSS!$B$6:$B$127,PSS!$D$6:$D$127),IF($F$1=1.3%,LOOKUP($A26,PSS!$B$6:$B$127,PSS!$E$6:$E$127),LOOKUP($A26,PSS!$B$6:$B$127,PSS!$F$6:$F$127))))</f>
        <v>7317.5528273956979</v>
      </c>
      <c r="W26" s="56">
        <f>IF($F$1=1.8%,LOOKUP($A26,Smic_AVPF!$B$6:$B$104,Smic_AVPF!$C$6:$C$104),IF($F$1=1.5%,LOOKUP($A26,Smic_AVPF!$B$6:$B$104,Smic_AVPF!$D$6:$D$104),IF($F$1=1.3%,LOOKUP($A26,Smic_AVPF!$B$6:$B$104,Smic_AVPF!$E$6:$E$104),LOOKUP($A26,Smic_AVPF!$B$6:$B$104,Smic_AVPF!$F$6:$F$104))))</f>
        <v>3037.699117472639</v>
      </c>
      <c r="X26" s="56"/>
      <c r="Y26" s="56"/>
      <c r="Z26" s="56"/>
      <c r="AA26" s="337"/>
      <c r="AB26" s="666">
        <v>1978</v>
      </c>
      <c r="AC26" s="672">
        <v>0.04</v>
      </c>
      <c r="AD26" s="673">
        <v>2.4E-2</v>
      </c>
      <c r="AE26" s="673">
        <v>1.6E-2</v>
      </c>
      <c r="AF26" s="668">
        <v>0.08</v>
      </c>
      <c r="AG26" s="668">
        <v>0.06</v>
      </c>
      <c r="AH26" s="668">
        <v>0.02</v>
      </c>
      <c r="AI26" s="337"/>
      <c r="AJ26" s="667">
        <v>1.1000000000000001</v>
      </c>
      <c r="AK26" s="667">
        <v>1</v>
      </c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663"/>
      <c r="BB26" s="686">
        <v>1.13117</v>
      </c>
      <c r="BC26" s="683">
        <v>2.9129195968638193</v>
      </c>
      <c r="BD26" s="664"/>
      <c r="BE26" s="687">
        <v>0.14519199999999999</v>
      </c>
      <c r="BF26" s="687">
        <v>0.35046504572708276</v>
      </c>
      <c r="BG26" s="664"/>
      <c r="BH26" s="687">
        <v>0.14882073062716</v>
      </c>
      <c r="BI26" s="687">
        <v>0.35283419166123003</v>
      </c>
      <c r="BJ26" s="661"/>
      <c r="BK26" s="366"/>
      <c r="BL26" s="666">
        <v>1978</v>
      </c>
      <c r="BM26" s="660"/>
      <c r="BN26" s="661"/>
      <c r="BO26" s="79"/>
      <c r="BP26" s="79"/>
      <c r="BQ26" s="79"/>
      <c r="BR26" s="79"/>
      <c r="BS26" s="79"/>
      <c r="BT26" s="79"/>
      <c r="BU26" s="366"/>
      <c r="BV26" s="666">
        <v>1978</v>
      </c>
      <c r="BW26" s="660"/>
      <c r="BX26" s="661"/>
      <c r="BY26" s="79"/>
      <c r="BZ26" s="79"/>
      <c r="CA26" s="6"/>
      <c r="CB26" s="79"/>
      <c r="CC26" s="79"/>
      <c r="CD26" s="79"/>
      <c r="CE26" s="665"/>
      <c r="CG26" s="666">
        <v>1978</v>
      </c>
      <c r="CH26" s="676"/>
      <c r="CI26" s="665"/>
      <c r="CJ26" s="336"/>
      <c r="CK26" s="336"/>
      <c r="CL26" s="697">
        <v>4.4999999999999998E-2</v>
      </c>
      <c r="CM26" s="673">
        <v>5.6000000000000008E-3</v>
      </c>
      <c r="CN26" s="673">
        <v>5.6000000000000008E-3</v>
      </c>
      <c r="CO26" s="674">
        <v>2.4000000000000001E-4</v>
      </c>
    </row>
    <row r="27" spans="1:93" s="361" customFormat="1" hidden="1" x14ac:dyDescent="0.25">
      <c r="A27" s="666">
        <v>1979</v>
      </c>
      <c r="B27" s="54">
        <f>IF($F$1=1.8%,LOOKUP($A27,Prix!B$6:B$127,Prix!$G$6:$G$127),IF($F$1=1.5%,LOOKUP($A27,Prix!B$6:B$127,Prix!$H$6:$H$127),IF($F$1=1.3%,LOOKUP($A27,Prix!B$6:B$127,Prix!$I$6:$I$127),LOOKUP($A27,Prix!B$6:B$127,Prix!$J$6:$J$127))))</f>
        <v>0.10782967032967017</v>
      </c>
      <c r="C27" s="7">
        <f t="shared" si="0"/>
        <v>0.27804831471402663</v>
      </c>
      <c r="D27" s="56">
        <f>IF($F$1=1.8%,LOOKUP($A27,SMPT!$B$6:$B$127,SMPT!$C$6:$C$127),IF($F$1=1.5%,LOOKUP($A27,SMPT!$B$6:$B$127,SMPT!$D$6:$D$127),IF($F$1=1.3%,LOOKUP($A27,SMPT!$B$6:$B$127,SMPT!$E$6:$E$127),LOOKUP($A27,SMPT!$B$6:$B$127,SMPT!$F$6:$F$127))))</f>
        <v>9015.3494492153568</v>
      </c>
      <c r="E27" s="58">
        <f t="shared" si="3"/>
        <v>0.11520883882751543</v>
      </c>
      <c r="F27" s="56">
        <f>IF($F$1=1.8%,LOOKUP($A27,SMIC!$B$6:$B$125,SMIC!$C$6:$C$125),IF($F$1=1.5%,LOOKUP($A27,SMIC!$B$6:$B$125,SMIC!$D$6:$D$125),IF($F$1=1.3%,LOOKUP($A27,SMIC!$B$6:$B$125,SMIC!$E$6:$E$125),LOOKUP($A27,SMIC!$B$6:$B$125,SMIC!$F$6:$F$125))))</f>
        <v>3785.884645253539</v>
      </c>
      <c r="G27" s="153">
        <f t="shared" si="1"/>
        <v>0.2454555955234389</v>
      </c>
      <c r="H27" s="357">
        <f t="shared" si="4"/>
        <v>0.11749999999999994</v>
      </c>
      <c r="I27" s="666">
        <v>1979</v>
      </c>
      <c r="J27" s="662"/>
      <c r="K27" s="668">
        <f t="shared" si="6"/>
        <v>0.124</v>
      </c>
      <c r="L27" s="668">
        <v>7.6999999999999999E-2</v>
      </c>
      <c r="M27" s="668">
        <v>4.7E-2</v>
      </c>
      <c r="N27" s="668">
        <f t="shared" si="7"/>
        <v>0</v>
      </c>
      <c r="O27" s="668">
        <f>IF(Simulation!$D$43="Oui",$Q27,0)</f>
        <v>0</v>
      </c>
      <c r="P27" s="668">
        <f>IF(Simulation!$D$43="Oui",$R27,0)</f>
        <v>0</v>
      </c>
      <c r="Q27" s="677">
        <v>0</v>
      </c>
      <c r="R27" s="677">
        <v>0</v>
      </c>
      <c r="S27" s="56">
        <f>IF($F$1=1.8%,LOOKUP($A27,Sal_valid!$B$6:$B$127,Sal_valid!$C$6:$C$127),IF($F$1=1.5%,LOOKUP($A27,Sal_valid!$B$6:$B$127,Sal_valid!$D$6:$D$127),IF($F$1=1.3%,LOOKUP($A27,Sal_valid!$B$6:$B$127,Sal_valid!$E$6:$E$127),LOOKUP($A27,Sal_valid!$B$6:$B$127,Sal_valid!$F$6:$F$127))))</f>
        <v>344.83967699102226</v>
      </c>
      <c r="T27" s="73">
        <f>Revalo_RB!$D39</f>
        <v>0.13718553459119498</v>
      </c>
      <c r="U27" s="73">
        <f>Revalo_RB!$H39</f>
        <v>0.12234918947648143</v>
      </c>
      <c r="V27" s="56">
        <f>IF($F$1=1.8%,LOOKUP($A27,PSS!$B$6:$B$127,PSS!$C$6:$C$127),IF($F$1=1.5%,LOOKUP($A27,PSS!$B$6:$B$127,PSS!$D$6:$D$127),IF($F$1=1.3%,LOOKUP($A27,PSS!$B$6:$B$127,PSS!$E$6:$E$127),LOOKUP($A27,PSS!$B$6:$B$127,PSS!$F$6:$F$127))))</f>
        <v>8177.3652846146924</v>
      </c>
      <c r="W27" s="56">
        <f>IF($F$1=1.8%,LOOKUP($A27,Smic_AVPF!$B$6:$B$104,Smic_AVPF!$C$6:$C$104),IF($F$1=1.5%,LOOKUP($A27,Smic_AVPF!$B$6:$B$104,Smic_AVPF!$D$6:$D$104),IF($F$1=1.3%,LOOKUP($A27,Smic_AVPF!$B$6:$B$104,Smic_AVPF!$E$6:$E$104),LOOKUP($A27,Smic_AVPF!$B$6:$B$104,Smic_AVPF!$F$6:$F$104))))</f>
        <v>3440.4023434462933</v>
      </c>
      <c r="X27" s="56"/>
      <c r="Y27" s="56"/>
      <c r="Z27" s="56"/>
      <c r="AA27" s="337"/>
      <c r="AB27" s="666">
        <v>1979</v>
      </c>
      <c r="AC27" s="672">
        <v>0.04</v>
      </c>
      <c r="AD27" s="673">
        <v>2.4E-2</v>
      </c>
      <c r="AE27" s="673">
        <v>1.6E-2</v>
      </c>
      <c r="AF27" s="668">
        <v>0.08</v>
      </c>
      <c r="AG27" s="668">
        <v>0.06</v>
      </c>
      <c r="AH27" s="668">
        <v>0.02</v>
      </c>
      <c r="AI27" s="337"/>
      <c r="AJ27" s="667">
        <v>1.1000000000000001</v>
      </c>
      <c r="AK27" s="667">
        <v>1.03</v>
      </c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663"/>
      <c r="BB27" s="686">
        <v>1.2638</v>
      </c>
      <c r="BC27" s="683">
        <v>3.2781874421646542</v>
      </c>
      <c r="BD27" s="664"/>
      <c r="BE27" s="687">
        <v>0.15854699999999999</v>
      </c>
      <c r="BF27" s="687">
        <v>0.39156530077428853</v>
      </c>
      <c r="BG27" s="664"/>
      <c r="BH27" s="687">
        <v>0.16266310139231691</v>
      </c>
      <c r="BI27" s="687">
        <v>0.39422164234309232</v>
      </c>
      <c r="BJ27" s="661"/>
      <c r="BK27" s="366"/>
      <c r="BL27" s="666">
        <v>1979</v>
      </c>
      <c r="BM27" s="660"/>
      <c r="BN27" s="661"/>
      <c r="BO27" s="79"/>
      <c r="BP27" s="79"/>
      <c r="BQ27" s="79"/>
      <c r="BR27" s="79"/>
      <c r="BS27" s="79"/>
      <c r="BT27" s="79"/>
      <c r="BU27" s="366"/>
      <c r="BV27" s="666">
        <v>1979</v>
      </c>
      <c r="BW27" s="660"/>
      <c r="BX27" s="661"/>
      <c r="BY27" s="79"/>
      <c r="BZ27" s="79"/>
      <c r="CA27" s="6"/>
      <c r="CB27" s="79"/>
      <c r="CC27" s="79"/>
      <c r="CD27" s="79"/>
      <c r="CE27" s="665"/>
      <c r="CG27" s="666">
        <v>1979</v>
      </c>
      <c r="CH27" s="676"/>
      <c r="CI27" s="665"/>
      <c r="CJ27" s="336"/>
      <c r="CK27" s="336"/>
      <c r="CL27" s="697">
        <v>4.9200000000000001E-2</v>
      </c>
      <c r="CM27" s="673">
        <v>7.8000000000000005E-3</v>
      </c>
      <c r="CN27" s="673">
        <v>7.8000000000000005E-3</v>
      </c>
      <c r="CO27" s="674">
        <v>2.4000000000000001E-4</v>
      </c>
    </row>
    <row r="28" spans="1:93" s="361" customFormat="1" hidden="1" x14ac:dyDescent="0.25">
      <c r="A28" s="666">
        <v>1980</v>
      </c>
      <c r="B28" s="54">
        <f>IF($F$1=1.8%,LOOKUP($A28,Prix!B$6:B$127,Prix!$G$6:$G$127),IF($F$1=1.5%,LOOKUP($A28,Prix!B$6:B$127,Prix!$H$6:$H$127),IF($F$1=1.3%,LOOKUP($A28,Prix!B$6:B$127,Prix!$I$6:$I$127),LOOKUP($A28,Prix!B$6:B$127,Prix!$J$6:$J$127))))</f>
        <v>0.13546187228766282</v>
      </c>
      <c r="C28" s="7">
        <f t="shared" si="0"/>
        <v>0.30803017282536049</v>
      </c>
      <c r="D28" s="56">
        <f>IF($F$1=1.8%,LOOKUP($A28,SMPT!$B$6:$B$127,SMPT!$C$6:$C$127),IF($F$1=1.5%,LOOKUP($A28,SMPT!$B$6:$B$127,SMPT!$D$6:$D$127),IF($F$1=1.3%,LOOKUP($A28,SMPT!$B$6:$B$127,SMPT!$E$6:$E$127),LOOKUP($A28,SMPT!$B$6:$B$127,SMPT!$F$6:$F$127))))</f>
        <v>10268.520177254355</v>
      </c>
      <c r="E28" s="58">
        <f t="shared" si="3"/>
        <v>0.13900412125988826</v>
      </c>
      <c r="F28" s="56">
        <f>IF($F$1=1.8%,LOOKUP($A28,SMIC!$B$6:$B$125,SMIC!$C$6:$C$125),IF($F$1=1.5%,LOOKUP($A28,SMIC!$B$6:$B$125,SMIC!$D$6:$D$125),IF($F$1=1.3%,LOOKUP($A28,SMIC!$B$6:$B$125,SMIC!$E$6:$E$125),LOOKUP($A28,SMIC!$B$6:$B$125,SMIC!$F$6:$F$125))))</f>
        <v>4376.5117184019073</v>
      </c>
      <c r="G28" s="153">
        <f t="shared" si="1"/>
        <v>0.27957493488749707</v>
      </c>
      <c r="H28" s="357">
        <f t="shared" si="4"/>
        <v>0.12080536912751705</v>
      </c>
      <c r="I28" s="666">
        <v>1980</v>
      </c>
      <c r="J28" s="662"/>
      <c r="K28" s="668">
        <f t="shared" si="6"/>
        <v>0.129</v>
      </c>
      <c r="L28" s="668">
        <v>8.199999999999999E-2</v>
      </c>
      <c r="M28" s="668">
        <v>4.7E-2</v>
      </c>
      <c r="N28" s="668">
        <f t="shared" si="7"/>
        <v>0</v>
      </c>
      <c r="O28" s="668">
        <f>IF(Simulation!$D$43="Oui",$Q28,0)</f>
        <v>0</v>
      </c>
      <c r="P28" s="668">
        <f>IF(Simulation!$D$43="Oui",$R28,0)</f>
        <v>0</v>
      </c>
      <c r="Q28" s="677">
        <v>0</v>
      </c>
      <c r="R28" s="677">
        <v>0</v>
      </c>
      <c r="S28" s="56">
        <f>IF($F$1=1.8%,LOOKUP($A28,Sal_valid!$B$6:$B$127,Sal_valid!$C$6:$C$127),IF($F$1=1.5%,LOOKUP($A28,Sal_valid!$B$6:$B$127,Sal_valid!$D$6:$D$127),IF($F$1=1.3%,LOOKUP($A28,Sal_valid!$B$6:$B$127,Sal_valid!$E$6:$E$127),LOOKUP($A28,Sal_valid!$B$6:$B$127,Sal_valid!$F$6:$F$127))))</f>
        <v>394.23315857594326</v>
      </c>
      <c r="T28" s="73">
        <f>Revalo_RB!$D40</f>
        <v>0.13318485523385304</v>
      </c>
      <c r="U28" s="73">
        <f>Revalo_RB!$H40</f>
        <v>0.12574530645279358</v>
      </c>
      <c r="V28" s="56">
        <f>IF($F$1=1.8%,LOOKUP($A28,PSS!$B$6:$B$127,PSS!$C$6:$C$127),IF($F$1=1.5%,LOOKUP($A28,PSS!$B$6:$B$127,PSS!$D$6:$D$127),IF($F$1=1.3%,LOOKUP($A28,PSS!$B$6:$B$127,PSS!$E$6:$E$127),LOOKUP($A28,PSS!$B$6:$B$127,PSS!$F$6:$F$127))))</f>
        <v>9165.234916313113</v>
      </c>
      <c r="W28" s="56">
        <f>IF($F$1=1.8%,LOOKUP($A28,Smic_AVPF!$B$6:$B$104,Smic_AVPF!$C$6:$C$104),IF($F$1=1.5%,LOOKUP($A28,Smic_AVPF!$B$6:$B$104,Smic_AVPF!$D$6:$D$104),IF($F$1=1.3%,LOOKUP($A28,Smic_AVPF!$B$6:$B$104,Smic_AVPF!$E$6:$E$104),LOOKUP($A28,Smic_AVPF!$B$6:$B$104,Smic_AVPF!$F$6:$F$104))))</f>
        <v>3852.600094213492</v>
      </c>
      <c r="X28" s="56"/>
      <c r="Y28" s="56"/>
      <c r="Z28" s="56"/>
      <c r="AA28" s="337"/>
      <c r="AB28" s="666">
        <v>1980</v>
      </c>
      <c r="AC28" s="672">
        <v>0.04</v>
      </c>
      <c r="AD28" s="673">
        <v>2.4E-2</v>
      </c>
      <c r="AE28" s="673">
        <v>1.6E-2</v>
      </c>
      <c r="AF28" s="668">
        <v>0.08</v>
      </c>
      <c r="AG28" s="668">
        <v>0.06</v>
      </c>
      <c r="AH28" s="668">
        <v>0.02</v>
      </c>
      <c r="AI28" s="337"/>
      <c r="AJ28" s="667">
        <v>1.1000000000000001</v>
      </c>
      <c r="AK28" s="667">
        <v>1.03</v>
      </c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663"/>
      <c r="BB28" s="686">
        <v>1.43607</v>
      </c>
      <c r="BC28" s="683">
        <v>3.7223933885910205</v>
      </c>
      <c r="BD28" s="664"/>
      <c r="BE28" s="687">
        <v>0.176231</v>
      </c>
      <c r="BF28" s="687">
        <v>0.45010572339345417</v>
      </c>
      <c r="BG28" s="664"/>
      <c r="BH28" s="687">
        <v>0.18110943247804354</v>
      </c>
      <c r="BI28" s="687">
        <v>0.45311835570915032</v>
      </c>
      <c r="BJ28" s="661"/>
      <c r="BK28" s="366"/>
      <c r="BL28" s="666">
        <v>1980</v>
      </c>
      <c r="BM28" s="660"/>
      <c r="BN28" s="661"/>
      <c r="BO28" s="79"/>
      <c r="BP28" s="79"/>
      <c r="BQ28" s="79"/>
      <c r="BR28" s="79"/>
      <c r="BS28" s="79"/>
      <c r="BT28" s="79"/>
      <c r="BU28" s="366"/>
      <c r="BV28" s="666">
        <v>1980</v>
      </c>
      <c r="BW28" s="660"/>
      <c r="BX28" s="661"/>
      <c r="BY28" s="79"/>
      <c r="BZ28" s="79"/>
      <c r="CA28" s="6"/>
      <c r="CB28" s="79"/>
      <c r="CC28" s="79"/>
      <c r="CD28" s="79"/>
      <c r="CE28" s="665"/>
      <c r="CG28" s="666">
        <v>1980</v>
      </c>
      <c r="CH28" s="676"/>
      <c r="CI28" s="665"/>
      <c r="CJ28" s="336"/>
      <c r="CK28" s="336"/>
      <c r="CL28" s="697">
        <v>5.5E-2</v>
      </c>
      <c r="CM28" s="673">
        <v>8.3999999999999995E-3</v>
      </c>
      <c r="CN28" s="673">
        <v>8.3999999999999995E-3</v>
      </c>
      <c r="CO28" s="674">
        <v>2.4000000000000001E-4</v>
      </c>
    </row>
    <row r="29" spans="1:93" s="361" customFormat="1" hidden="1" x14ac:dyDescent="0.25">
      <c r="A29" s="666">
        <v>1981</v>
      </c>
      <c r="B29" s="54">
        <f>IF($F$1=1.8%,LOOKUP($A29,Prix!B$6:B$127,Prix!$G$6:$G$127),IF($F$1=1.5%,LOOKUP($A29,Prix!B$6:B$127,Prix!$H$6:$H$127),IF($F$1=1.3%,LOOKUP($A29,Prix!B$6:B$127,Prix!$I$6:$I$127),LOOKUP($A29,Prix!B$6:B$127,Prix!$J$6:$J$127))))</f>
        <v>0.13404313404313406</v>
      </c>
      <c r="C29" s="7">
        <f t="shared" si="0"/>
        <v>0.34975651675737618</v>
      </c>
      <c r="D29" s="56">
        <f>IF($F$1=1.8%,LOOKUP($A29,SMPT!$B$6:$B$127,SMPT!$C$6:$C$127),IF($F$1=1.5%,LOOKUP($A29,SMPT!$B$6:$B$127,SMPT!$D$6:$D$127),IF($F$1=1.3%,LOOKUP($A29,SMPT!$B$6:$B$127,SMPT!$E$6:$E$127),LOOKUP($A29,SMPT!$B$6:$B$127,SMPT!$F$6:$F$127))))</f>
        <v>11534.549135525724</v>
      </c>
      <c r="E29" s="58">
        <f t="shared" si="3"/>
        <v>0.12329225014094347</v>
      </c>
      <c r="F29" s="56">
        <f>IF($F$1=1.8%,LOOKUP($A29,SMIC!$B$6:$B$125,SMIC!$C$6:$C$125),IF($F$1=1.5%,LOOKUP($A29,SMIC!$B$6:$B$125,SMIC!$D$6:$D$125),IF($F$1=1.3%,LOOKUP($A29,SMIC!$B$6:$B$125,SMIC!$E$6:$E$125),LOOKUP($A29,SMIC!$B$6:$B$125,SMIC!$F$6:$F$125))))</f>
        <v>5169.3699183965482</v>
      </c>
      <c r="G29" s="153">
        <f t="shared" si="1"/>
        <v>0.31404435769278433</v>
      </c>
      <c r="H29" s="357">
        <f t="shared" si="4"/>
        <v>0.1437125748502992</v>
      </c>
      <c r="I29" s="666">
        <v>1981</v>
      </c>
      <c r="J29" s="662"/>
      <c r="K29" s="668">
        <f t="shared" si="6"/>
        <v>0.13</v>
      </c>
      <c r="L29" s="668">
        <v>8.199999999999999E-2</v>
      </c>
      <c r="M29" s="668">
        <v>4.8000000000000001E-2</v>
      </c>
      <c r="N29" s="668">
        <f t="shared" si="7"/>
        <v>1E-3</v>
      </c>
      <c r="O29" s="668">
        <f>IF(Simulation!$D$43="Oui",$Q29,0)</f>
        <v>0</v>
      </c>
      <c r="P29" s="668">
        <f>IF(Simulation!$D$43="Oui",$R29,0)</f>
        <v>1E-3</v>
      </c>
      <c r="Q29" s="677">
        <v>0</v>
      </c>
      <c r="R29" s="677">
        <v>1E-3</v>
      </c>
      <c r="S29" s="56">
        <f>IF($F$1=1.8%,LOOKUP($A29,Sal_valid!$B$6:$B$127,Sal_valid!$C$6:$C$127),IF($F$1=1.5%,LOOKUP($A29,Sal_valid!$B$6:$B$127,Sal_valid!$D$6:$D$127),IF($F$1=1.3%,LOOKUP($A29,Sal_valid!$B$6:$B$127,Sal_valid!$E$6:$E$127),LOOKUP($A29,Sal_valid!$B$6:$B$127,Sal_valid!$F$6:$F$127))))</f>
        <v>450.94419298825989</v>
      </c>
      <c r="T29" s="73">
        <f>Revalo_RB!$D41</f>
        <v>0.12025948103792428</v>
      </c>
      <c r="U29" s="73">
        <f>Revalo_RB!$H41</f>
        <v>0.14790283598984333</v>
      </c>
      <c r="V29" s="56">
        <f>IF($F$1=1.8%,LOOKUP($A29,PSS!$B$6:$B$127,PSS!$C$6:$C$127),IF($F$1=1.5%,LOOKUP($A29,PSS!$B$6:$B$127,PSS!$D$6:$D$127),IF($F$1=1.3%,LOOKUP($A29,PSS!$B$6:$B$127,PSS!$E$6:$E$127),LOOKUP($A29,PSS!$B$6:$B$127,PSS!$F$6:$F$127))))</f>
        <v>10482.394425244338</v>
      </c>
      <c r="W29" s="56">
        <f>IF($F$1=1.8%,LOOKUP($A29,Smic_AVPF!$B$6:$B$104,Smic_AVPF!$C$6:$C$104),IF($F$1=1.5%,LOOKUP($A29,Smic_AVPF!$B$6:$B$104,Smic_AVPF!$D$6:$D$104),IF($F$1=1.3%,LOOKUP($A29,Smic_AVPF!$B$6:$B$104,Smic_AVPF!$E$6:$E$104),LOOKUP($A29,Smic_AVPF!$B$6:$B$104,Smic_AVPF!$F$6:$F$104))))</f>
        <v>4439.2300105037375</v>
      </c>
      <c r="X29" s="56"/>
      <c r="Y29" s="56"/>
      <c r="Z29" s="56"/>
      <c r="AA29" s="337"/>
      <c r="AB29" s="666">
        <v>1981</v>
      </c>
      <c r="AC29" s="672">
        <v>0.04</v>
      </c>
      <c r="AD29" s="673">
        <v>2.4E-2</v>
      </c>
      <c r="AE29" s="673">
        <v>1.6E-2</v>
      </c>
      <c r="AF29" s="668">
        <v>0.08</v>
      </c>
      <c r="AG29" s="668">
        <v>0.06</v>
      </c>
      <c r="AH29" s="668">
        <v>0.02</v>
      </c>
      <c r="AI29" s="337"/>
      <c r="AJ29" s="667">
        <v>1.1000000000000001</v>
      </c>
      <c r="AK29" s="667">
        <v>1.03</v>
      </c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663"/>
      <c r="BB29" s="686">
        <v>1.6159600000000001</v>
      </c>
      <c r="BC29" s="683">
        <v>4.2122578156799912</v>
      </c>
      <c r="BD29" s="664"/>
      <c r="BE29" s="687">
        <v>0.200013</v>
      </c>
      <c r="BF29" s="687">
        <v>0.51716804607619093</v>
      </c>
      <c r="BG29" s="664"/>
      <c r="BH29" s="687">
        <v>0.20504392818431696</v>
      </c>
      <c r="BI29" s="687">
        <v>0.52063299070981373</v>
      </c>
      <c r="BJ29" s="661"/>
      <c r="BK29" s="366"/>
      <c r="BL29" s="666">
        <v>1981</v>
      </c>
      <c r="BM29" s="660"/>
      <c r="BN29" s="661"/>
      <c r="BO29" s="79"/>
      <c r="BP29" s="79"/>
      <c r="BQ29" s="79"/>
      <c r="BR29" s="79"/>
      <c r="BS29" s="79"/>
      <c r="BT29" s="79"/>
      <c r="BU29" s="366"/>
      <c r="BV29" s="666">
        <v>1981</v>
      </c>
      <c r="BW29" s="660"/>
      <c r="BX29" s="661"/>
      <c r="BY29" s="79"/>
      <c r="BZ29" s="79"/>
      <c r="CA29" s="6"/>
      <c r="CB29" s="79"/>
      <c r="CC29" s="79"/>
      <c r="CD29" s="79"/>
      <c r="CE29" s="665"/>
      <c r="CG29" s="666">
        <v>1981</v>
      </c>
      <c r="CH29" s="676"/>
      <c r="CI29" s="665"/>
      <c r="CJ29" s="336"/>
      <c r="CK29" s="336"/>
      <c r="CL29" s="697">
        <v>5.5E-2</v>
      </c>
      <c r="CM29" s="673">
        <v>8.3999999999999995E-3</v>
      </c>
      <c r="CN29" s="673">
        <v>8.3999999999999995E-3</v>
      </c>
      <c r="CO29" s="674">
        <v>2.4000000000000001E-4</v>
      </c>
    </row>
    <row r="30" spans="1:93" s="361" customFormat="1" hidden="1" x14ac:dyDescent="0.25">
      <c r="A30" s="666">
        <v>1982</v>
      </c>
      <c r="B30" s="54">
        <f>IF($F$1=1.8%,LOOKUP($A30,Prix!B$6:B$127,Prix!$G$6:$G$127),IF($F$1=1.5%,LOOKUP($A30,Prix!B$6:B$127,Prix!$H$6:$H$127),IF($F$1=1.3%,LOOKUP($A30,Prix!B$6:B$127,Prix!$I$6:$I$127),LOOKUP($A30,Prix!B$6:B$127,Prix!$J$6:$J$127))))</f>
        <v>0.11819932595089089</v>
      </c>
      <c r="C30" s="7">
        <f t="shared" si="0"/>
        <v>0.3966389764155448</v>
      </c>
      <c r="D30" s="56">
        <f>IF($F$1=1.8%,LOOKUP($A30,SMPT!$B$6:$B$127,SMPT!$C$6:$C$127),IF($F$1=1.5%,LOOKUP($A30,SMPT!$B$6:$B$127,SMPT!$D$6:$D$127),IF($F$1=1.3%,LOOKUP($A30,SMPT!$B$6:$B$127,SMPT!$E$6:$E$127),LOOKUP($A30,SMPT!$B$6:$B$127,SMPT!$F$6:$F$127))))</f>
        <v>13133.9342249775</v>
      </c>
      <c r="E30" s="58">
        <f t="shared" si="3"/>
        <v>0.13866039068018399</v>
      </c>
      <c r="F30" s="56">
        <f>IF($F$1=1.8%,LOOKUP($A30,SMIC!$B$6:$B$125,SMIC!$C$6:$C$125),IF($F$1=1.5%,LOOKUP($A30,SMIC!$B$6:$B$125,SMIC!$D$6:$D$125),IF($F$1=1.3%,LOOKUP($A30,SMIC!$B$6:$B$125,SMIC!$E$6:$E$125),LOOKUP($A30,SMIC!$B$6:$B$125,SMIC!$F$6:$F$125))))</f>
        <v>5930.4169140221575</v>
      </c>
      <c r="G30" s="153">
        <f t="shared" si="1"/>
        <v>0.3575898710213733</v>
      </c>
      <c r="H30" s="357">
        <f t="shared" si="4"/>
        <v>0.19319610796337461</v>
      </c>
      <c r="I30" s="666">
        <v>1982</v>
      </c>
      <c r="J30" s="662"/>
      <c r="K30" s="668">
        <f t="shared" si="6"/>
        <v>0.13</v>
      </c>
      <c r="L30" s="668">
        <v>8.199999999999999E-2</v>
      </c>
      <c r="M30" s="668">
        <v>4.8000000000000001E-2</v>
      </c>
      <c r="N30" s="668">
        <f t="shared" si="7"/>
        <v>1E-3</v>
      </c>
      <c r="O30" s="668">
        <f>IF(Simulation!$D$43="Oui",$Q30,0)</f>
        <v>0</v>
      </c>
      <c r="P30" s="668">
        <f>IF(Simulation!$D$43="Oui",$R30,0)</f>
        <v>1E-3</v>
      </c>
      <c r="Q30" s="677">
        <v>0</v>
      </c>
      <c r="R30" s="677">
        <v>1E-3</v>
      </c>
      <c r="S30" s="56">
        <f>IF($F$1=1.8%,LOOKUP($A30,Sal_valid!$B$6:$B$127,Sal_valid!$C$6:$C$127),IF($F$1=1.5%,LOOKUP($A30,Sal_valid!$B$6:$B$127,Sal_valid!$D$6:$D$127),IF($F$1=1.3%,LOOKUP($A30,Sal_valid!$B$6:$B$127,Sal_valid!$E$6:$E$127),LOOKUP($A30,Sal_valid!$B$6:$B$127,Sal_valid!$F$6:$F$127))))</f>
        <v>553.3899325717997</v>
      </c>
      <c r="T30" s="73">
        <f>Revalo_RB!$D42</f>
        <v>5.9756742464304624E-2</v>
      </c>
      <c r="U30" s="73">
        <f>Revalo_RB!$H42</f>
        <v>0.10223471876124335</v>
      </c>
      <c r="V30" s="56">
        <f>IF($F$1=1.8%,LOOKUP($A30,PSS!$B$6:$B$127,PSS!$C$6:$C$127),IF($F$1=1.5%,LOOKUP($A30,PSS!$B$6:$B$127,PSS!$D$6:$D$127),IF($F$1=1.3%,LOOKUP($A30,PSS!$B$6:$B$127,PSS!$E$6:$E$127),LOOKUP($A30,PSS!$B$6:$B$127,PSS!$F$6:$F$127))))</f>
        <v>12507.552230338519</v>
      </c>
      <c r="W30" s="56">
        <f>IF($F$1=1.8%,LOOKUP($A30,Smic_AVPF!$B$6:$B$104,Smic_AVPF!$C$6:$C$104),IF($F$1=1.5%,LOOKUP($A30,Smic_AVPF!$B$6:$B$104,Smic_AVPF!$D$6:$D$104),IF($F$1=1.3%,LOOKUP($A30,Smic_AVPF!$B$6:$B$104,Smic_AVPF!$E$6:$E$104),LOOKUP($A30,Smic_AVPF!$B$6:$B$104,Smic_AVPF!$F$6:$F$104))))</f>
        <v>5301.6950806226632</v>
      </c>
      <c r="X30" s="56"/>
      <c r="Y30" s="56"/>
      <c r="Z30" s="56"/>
      <c r="AA30" s="337"/>
      <c r="AB30" s="666">
        <v>1982</v>
      </c>
      <c r="AC30" s="672">
        <v>0.04</v>
      </c>
      <c r="AD30" s="673">
        <v>2.4E-2</v>
      </c>
      <c r="AE30" s="673">
        <v>1.6E-2</v>
      </c>
      <c r="AF30" s="668">
        <v>0.08</v>
      </c>
      <c r="AG30" s="668">
        <v>0.06</v>
      </c>
      <c r="AH30" s="668">
        <v>0.02</v>
      </c>
      <c r="AI30" s="337"/>
      <c r="AJ30" s="667">
        <v>1.1000000000000001</v>
      </c>
      <c r="AK30" s="667">
        <v>1.03</v>
      </c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37"/>
      <c r="AX30" s="337"/>
      <c r="AY30" s="337"/>
      <c r="AZ30" s="337"/>
      <c r="BA30" s="663"/>
      <c r="BB30" s="686">
        <v>1.7958499999999999</v>
      </c>
      <c r="BC30" s="683">
        <v>4.7657392176621336</v>
      </c>
      <c r="BD30" s="664"/>
      <c r="BE30" s="687">
        <v>0.22409999999999999</v>
      </c>
      <c r="BF30" s="687">
        <v>0.58651710401748902</v>
      </c>
      <c r="BG30" s="664"/>
      <c r="BH30" s="687">
        <v>0.22791128076992853</v>
      </c>
      <c r="BI30" s="687">
        <v>0.59044987476399979</v>
      </c>
      <c r="BJ30" s="661"/>
      <c r="BK30" s="366"/>
      <c r="BL30" s="666">
        <v>1982</v>
      </c>
      <c r="BM30" s="660"/>
      <c r="BN30" s="661"/>
      <c r="BO30" s="79"/>
      <c r="BP30" s="79"/>
      <c r="BQ30" s="79"/>
      <c r="BR30" s="79"/>
      <c r="BS30" s="79"/>
      <c r="BT30" s="79"/>
      <c r="BU30" s="366"/>
      <c r="BV30" s="666">
        <v>1982</v>
      </c>
      <c r="BW30" s="660"/>
      <c r="BX30" s="661"/>
      <c r="BY30" s="79"/>
      <c r="BZ30" s="79"/>
      <c r="CA30" s="6"/>
      <c r="CB30" s="79"/>
      <c r="CC30" s="79"/>
      <c r="CD30" s="79"/>
      <c r="CE30" s="665"/>
      <c r="CG30" s="666">
        <v>1982</v>
      </c>
      <c r="CH30" s="676"/>
      <c r="CI30" s="665"/>
      <c r="CJ30" s="336"/>
      <c r="CK30" s="336"/>
      <c r="CL30" s="697">
        <v>5.5E-2</v>
      </c>
      <c r="CM30" s="673">
        <v>9.1999999999999998E-3</v>
      </c>
      <c r="CN30" s="673">
        <v>9.1999999999999998E-3</v>
      </c>
      <c r="CO30" s="674">
        <v>2.4000000000000001E-4</v>
      </c>
    </row>
    <row r="31" spans="1:93" s="361" customFormat="1" hidden="1" x14ac:dyDescent="0.25">
      <c r="A31" s="666">
        <v>1983</v>
      </c>
      <c r="B31" s="54">
        <f>IF($F$1=1.8%,LOOKUP($A31,Prix!B$6:B$127,Prix!$G$6:$G$127),IF($F$1=1.5%,LOOKUP($A31,Prix!B$6:B$127,Prix!$H$6:$H$127),IF($F$1=1.3%,LOOKUP($A31,Prix!B$6:B$127,Prix!$I$6:$I$127),LOOKUP($A31,Prix!B$6:B$127,Prix!$J$6:$J$127))))</f>
        <v>9.6232508073196943E-2</v>
      </c>
      <c r="C31" s="7">
        <f t="shared" si="0"/>
        <v>0.44352143607371347</v>
      </c>
      <c r="D31" s="56">
        <f>IF($F$1=1.8%,LOOKUP($A31,SMPT!$B$6:$B$127,SMPT!$C$6:$C$127),IF($F$1=1.5%,LOOKUP($A31,SMPT!$B$6:$B$127,SMPT!$D$6:$D$127),IF($F$1=1.3%,LOOKUP($A31,SMPT!$B$6:$B$127,SMPT!$E$6:$E$127),LOOKUP($A31,SMPT!$B$6:$B$127,SMPT!$F$6:$F$127))))</f>
        <v>14345.702562669803</v>
      </c>
      <c r="E31" s="58">
        <f t="shared" si="3"/>
        <v>9.2262403399875348E-2</v>
      </c>
      <c r="F31" s="56">
        <f>IF($F$1=1.8%,LOOKUP($A31,SMIC!$B$6:$B$125,SMIC!$C$6:$C$125),IF($F$1=1.5%,LOOKUP($A31,SMIC!$B$6:$B$125,SMIC!$D$6:$D$125),IF($F$1=1.3%,LOOKUP($A31,SMIC!$B$6:$B$125,SMIC!$E$6:$E$125),LOOKUP($A31,SMIC!$B$6:$B$125,SMIC!$F$6:$F$125))))</f>
        <v>6648.0900174274275</v>
      </c>
      <c r="G31" s="153">
        <f t="shared" si="1"/>
        <v>0.39058197195325667</v>
      </c>
      <c r="H31" s="357">
        <f t="shared" si="4"/>
        <v>0.11772343128258367</v>
      </c>
      <c r="I31" s="666">
        <v>1983</v>
      </c>
      <c r="J31" s="662"/>
      <c r="K31" s="668">
        <f t="shared" si="6"/>
        <v>0.13</v>
      </c>
      <c r="L31" s="668">
        <v>8.199999999999999E-2</v>
      </c>
      <c r="M31" s="668">
        <v>4.8000000000000001E-2</v>
      </c>
      <c r="N31" s="668">
        <f t="shared" si="7"/>
        <v>1E-3</v>
      </c>
      <c r="O31" s="668">
        <f>IF(Simulation!$D$43="Oui",$Q31,0)</f>
        <v>0</v>
      </c>
      <c r="P31" s="668">
        <f>IF(Simulation!$D$43="Oui",$R31,0)</f>
        <v>1E-3</v>
      </c>
      <c r="Q31" s="677">
        <v>0</v>
      </c>
      <c r="R31" s="677">
        <v>1E-3</v>
      </c>
      <c r="S31" s="56">
        <f>IF($F$1=1.8%,LOOKUP($A31,Sal_valid!$B$6:$B$127,Sal_valid!$C$6:$C$127),IF($F$1=1.5%,LOOKUP($A31,Sal_valid!$B$6:$B$127,Sal_valid!$D$6:$D$127),IF($F$1=1.3%,LOOKUP($A31,Sal_valid!$B$6:$B$127,Sal_valid!$E$6:$E$127),LOOKUP($A31,Sal_valid!$B$6:$B$127,Sal_valid!$F$6:$F$127))))</f>
        <v>618.63811194941138</v>
      </c>
      <c r="T31" s="73">
        <f>Revalo_RB!$D43</f>
        <v>5.4656999442275644E-2</v>
      </c>
      <c r="U31" s="73">
        <f>Revalo_RB!$H43</f>
        <v>9.0588164178202257E-2</v>
      </c>
      <c r="V31" s="56">
        <f>IF($F$1=1.8%,LOOKUP($A31,PSS!$B$6:$B$127,PSS!$C$6:$C$127),IF($F$1=1.5%,LOOKUP($A31,PSS!$B$6:$B$127,PSS!$D$6:$D$127),IF($F$1=1.3%,LOOKUP($A31,PSS!$B$6:$B$127,PSS!$E$6:$E$127),LOOKUP($A31,PSS!$B$6:$B$127,PSS!$F$6:$F$127))))</f>
        <v>13979.984195840101</v>
      </c>
      <c r="W31" s="56">
        <f>IF($F$1=1.8%,LOOKUP($A31,Smic_AVPF!$B$6:$B$104,Smic_AVPF!$C$6:$C$104),IF($F$1=1.5%,LOOKUP($A31,Smic_AVPF!$B$6:$B$104,Smic_AVPF!$D$6:$D$104),IF($F$1=1.3%,LOOKUP($A31,Smic_AVPF!$B$6:$B$104,Smic_AVPF!$E$6:$E$104),LOOKUP($A31,Smic_AVPF!$B$6:$B$104,Smic_AVPF!$F$6:$F$104))))</f>
        <v>6072.032160644676</v>
      </c>
      <c r="X31" s="56">
        <v>4024.6540550676341</v>
      </c>
      <c r="Y31" s="56"/>
      <c r="Z31" s="56"/>
      <c r="AA31" s="337"/>
      <c r="AB31" s="666">
        <v>1983</v>
      </c>
      <c r="AC31" s="672">
        <v>0.04</v>
      </c>
      <c r="AD31" s="673">
        <v>2.4E-2</v>
      </c>
      <c r="AE31" s="673">
        <v>1.6E-2</v>
      </c>
      <c r="AF31" s="668">
        <v>0.08</v>
      </c>
      <c r="AG31" s="668">
        <v>0.06</v>
      </c>
      <c r="AH31" s="668">
        <v>0.02</v>
      </c>
      <c r="AI31" s="337"/>
      <c r="AJ31" s="667">
        <v>1.1499999999999999</v>
      </c>
      <c r="AK31" s="667">
        <v>1.03</v>
      </c>
      <c r="AL31" s="337"/>
      <c r="AM31" s="337"/>
      <c r="AN31" s="337"/>
      <c r="AO31" s="337"/>
      <c r="AP31" s="337"/>
      <c r="AQ31" s="668">
        <f>AR31+AS31</f>
        <v>0.02</v>
      </c>
      <c r="AR31" s="668">
        <f>IF(Simulation!$D$42="Oui",Barèmes!$AT31,0)</f>
        <v>1.2E-2</v>
      </c>
      <c r="AS31" s="668">
        <f>IF(Simulation!$D$42="Oui",Barèmes!$AU31,0)</f>
        <v>8.0000000000000002E-3</v>
      </c>
      <c r="AT31" s="678">
        <v>1.2E-2</v>
      </c>
      <c r="AU31" s="678">
        <v>8.0000000000000002E-3</v>
      </c>
      <c r="AV31" s="668">
        <f>AW31+AX31</f>
        <v>2.18E-2</v>
      </c>
      <c r="AW31" s="668">
        <f>IF(Simulation!$D$42="Oui",Barèmes!$AY31,0)</f>
        <v>1.29E-2</v>
      </c>
      <c r="AX31" s="668">
        <f>IF(Simulation!$D$42="Oui",Barèmes!$AZ31,0)</f>
        <v>8.8999999999999999E-3</v>
      </c>
      <c r="AY31" s="678">
        <v>1.29E-2</v>
      </c>
      <c r="AZ31" s="678">
        <v>8.8999999999999999E-3</v>
      </c>
      <c r="BA31" s="663"/>
      <c r="BB31" s="686">
        <v>1.99251</v>
      </c>
      <c r="BC31" s="683">
        <v>5.2666257086973687</v>
      </c>
      <c r="BD31" s="664"/>
      <c r="BE31" s="687">
        <v>0.239345</v>
      </c>
      <c r="BF31" s="687">
        <v>0.63659660617997826</v>
      </c>
      <c r="BG31" s="664"/>
      <c r="BH31" s="687">
        <v>0.24620516283841776</v>
      </c>
      <c r="BI31" s="687">
        <v>0.64093333905632177</v>
      </c>
      <c r="BJ31" s="661"/>
      <c r="BK31" s="366"/>
      <c r="BL31" s="666">
        <v>1983</v>
      </c>
      <c r="BM31" s="660"/>
      <c r="BN31" s="661"/>
      <c r="BO31" s="79"/>
      <c r="BP31" s="79"/>
      <c r="BQ31" s="79"/>
      <c r="BR31" s="79"/>
      <c r="BS31" s="79"/>
      <c r="BT31" s="79"/>
      <c r="BU31" s="366"/>
      <c r="BV31" s="666">
        <v>1983</v>
      </c>
      <c r="BW31" s="660"/>
      <c r="BX31" s="661"/>
      <c r="BY31" s="79"/>
      <c r="BZ31" s="79"/>
      <c r="CA31" s="6"/>
      <c r="CB31" s="79"/>
      <c r="CC31" s="79"/>
      <c r="CD31" s="79"/>
      <c r="CE31" s="665"/>
      <c r="CG31" s="666">
        <v>1983</v>
      </c>
      <c r="CH31" s="676"/>
      <c r="CI31" s="665"/>
      <c r="CJ31" s="336"/>
      <c r="CK31" s="336"/>
      <c r="CL31" s="697">
        <v>5.5E-2</v>
      </c>
      <c r="CM31" s="673">
        <v>1.52E-2</v>
      </c>
      <c r="CN31" s="673">
        <v>1.52E-2</v>
      </c>
      <c r="CO31" s="674">
        <v>2.4000000000000001E-4</v>
      </c>
    </row>
    <row r="32" spans="1:93" s="361" customFormat="1" hidden="1" x14ac:dyDescent="0.25">
      <c r="A32" s="666">
        <v>1984</v>
      </c>
      <c r="B32" s="54">
        <f>IF($F$1=1.8%,LOOKUP($A32,Prix!B$6:B$127,Prix!$G$6:$G$127),IF($F$1=1.5%,LOOKUP($A32,Prix!B$6:B$127,Prix!$H$6:$H$127),IF($F$1=1.3%,LOOKUP($A32,Prix!B$6:B$127,Prix!$I$6:$I$127),LOOKUP($A32,Prix!B$6:B$127,Prix!$J$6:$J$127))))</f>
        <v>7.4037706205812848E-2</v>
      </c>
      <c r="C32" s="7">
        <f t="shared" si="0"/>
        <v>0.486202616251313</v>
      </c>
      <c r="D32" s="56">
        <f>IF($F$1=1.8%,LOOKUP($A32,SMPT!$B$6:$B$127,SMPT!$C$6:$C$127),IF($F$1=1.5%,LOOKUP($A32,SMPT!$B$6:$B$127,SMPT!$D$6:$D$127),IF($F$1=1.3%,LOOKUP($A32,SMPT!$B$6:$B$127,SMPT!$E$6:$E$127),LOOKUP($A32,SMPT!$B$6:$B$127,SMPT!$F$6:$F$127))))</f>
        <v>15281.126717098661</v>
      </c>
      <c r="E32" s="58">
        <f t="shared" si="3"/>
        <v>6.52058796243975E-2</v>
      </c>
      <c r="F32" s="56">
        <f>IF($F$1=1.8%,LOOKUP($A32,SMIC!$B$6:$B$125,SMIC!$C$6:$C$125),IF($F$1=1.5%,LOOKUP($A32,SMIC!$B$6:$B$125,SMIC!$D$6:$D$125),IF($F$1=1.3%,LOOKUP($A32,SMIC!$B$6:$B$125,SMIC!$E$6:$E$125),LOOKUP($A32,SMIC!$B$6:$B$125,SMIC!$F$6:$F$125))))</f>
        <v>7274.5551069083722</v>
      </c>
      <c r="G32" s="153">
        <f t="shared" si="1"/>
        <v>0.41605021299990047</v>
      </c>
      <c r="H32" s="357">
        <f t="shared" si="4"/>
        <v>8.6254552860632661E-2</v>
      </c>
      <c r="I32" s="666">
        <v>1984</v>
      </c>
      <c r="J32" s="662"/>
      <c r="K32" s="668">
        <f t="shared" si="6"/>
        <v>0.13999999999999999</v>
      </c>
      <c r="L32" s="668">
        <v>8.199999999999999E-2</v>
      </c>
      <c r="M32" s="668">
        <v>5.8000000000000003E-2</v>
      </c>
      <c r="N32" s="668">
        <f t="shared" si="7"/>
        <v>1E-3</v>
      </c>
      <c r="O32" s="668">
        <f>IF(Simulation!$D$43="Oui",$Q32,0)</f>
        <v>0</v>
      </c>
      <c r="P32" s="668">
        <f>IF(Simulation!$D$43="Oui",$R32,0)</f>
        <v>1E-3</v>
      </c>
      <c r="Q32" s="677">
        <v>0</v>
      </c>
      <c r="R32" s="677">
        <v>1E-3</v>
      </c>
      <c r="S32" s="56">
        <f>IF($F$1=1.8%,LOOKUP($A32,Sal_valid!$B$6:$B$127,Sal_valid!$C$6:$C$127),IF($F$1=1.5%,LOOKUP($A32,Sal_valid!$B$6:$B$127,Sal_valid!$D$6:$D$127),IF($F$1=1.3%,LOOKUP($A32,Sal_valid!$B$6:$B$127,Sal_valid!$E$6:$E$127),LOOKUP($A32,Sal_valid!$B$6:$B$127,Sal_valid!$F$6:$F$127))))</f>
        <v>694.55772253364171</v>
      </c>
      <c r="T32" s="73">
        <f>Revalo_RB!$D44</f>
        <v>4.3655413271245669E-2</v>
      </c>
      <c r="U32" s="73">
        <f>Revalo_RB!$H44</f>
        <v>6.848616530684648E-2</v>
      </c>
      <c r="V32" s="56">
        <f>IF($F$1=1.8%,LOOKUP($A32,PSS!$B$6:$B$127,PSS!$C$6:$C$127),IF($F$1=1.5%,LOOKUP($A32,PSS!$B$6:$B$127,PSS!$D$6:$D$127),IF($F$1=1.3%,LOOKUP($A32,PSS!$B$6:$B$127,PSS!$E$6:$E$127),LOOKUP($A32,PSS!$B$6:$B$127,PSS!$F$6:$F$127))))</f>
        <v>15185.821481651001</v>
      </c>
      <c r="W32" s="56">
        <f>IF($F$1=1.8%,LOOKUP($A32,Smic_AVPF!$B$6:$B$104,Smic_AVPF!$C$6:$C$104),IF($F$1=1.5%,LOOKUP($A32,Smic_AVPF!$B$6:$B$104,Smic_AVPF!$D$6:$D$104),IF($F$1=1.3%,LOOKUP($A32,Smic_AVPF!$B$6:$B$104,Smic_AVPF!$E$6:$E$104),LOOKUP($A32,Smic_AVPF!$B$6:$B$104,Smic_AVPF!$F$6:$F$104))))</f>
        <v>6767.6570262989799</v>
      </c>
      <c r="X32" s="56">
        <v>4097.0978280588515</v>
      </c>
      <c r="Y32" s="56"/>
      <c r="Z32" s="56"/>
      <c r="AA32" s="337"/>
      <c r="AB32" s="666">
        <v>1984</v>
      </c>
      <c r="AC32" s="672">
        <v>0.04</v>
      </c>
      <c r="AD32" s="673">
        <v>2.4E-2</v>
      </c>
      <c r="AE32" s="673">
        <v>1.6E-2</v>
      </c>
      <c r="AF32" s="668">
        <v>0.08</v>
      </c>
      <c r="AG32" s="668">
        <v>0.06</v>
      </c>
      <c r="AH32" s="668">
        <v>0.02</v>
      </c>
      <c r="AI32" s="337"/>
      <c r="AJ32" s="667">
        <v>1.1499999999999999</v>
      </c>
      <c r="AK32" s="667">
        <v>1.03</v>
      </c>
      <c r="AL32" s="337"/>
      <c r="AM32" s="337"/>
      <c r="AN32" s="337"/>
      <c r="AO32" s="337"/>
      <c r="AP32" s="337"/>
      <c r="AQ32" s="668">
        <f t="shared" ref="AQ32:AQ60" si="8">AR32+AS32</f>
        <v>0.02</v>
      </c>
      <c r="AR32" s="668">
        <f>IF(Simulation!$D$42="Oui",Barèmes!$AT32,0)</f>
        <v>1.2E-2</v>
      </c>
      <c r="AS32" s="668">
        <f>IF(Simulation!$D$42="Oui",Barèmes!$AU32,0)</f>
        <v>8.0000000000000002E-3</v>
      </c>
      <c r="AT32" s="678">
        <v>1.2E-2</v>
      </c>
      <c r="AU32" s="678">
        <v>8.0000000000000002E-3</v>
      </c>
      <c r="AV32" s="668">
        <f t="shared" ref="AV32:AV64" si="9">AW32+AX32</f>
        <v>2.18E-2</v>
      </c>
      <c r="AW32" s="668">
        <f>IF(Simulation!$D$42="Oui",Barèmes!$AY32,0)</f>
        <v>1.29E-2</v>
      </c>
      <c r="AX32" s="668">
        <f>IF(Simulation!$D$42="Oui",Barèmes!$AZ32,0)</f>
        <v>8.8999999999999999E-3</v>
      </c>
      <c r="AY32" s="678">
        <v>1.29E-2</v>
      </c>
      <c r="AZ32" s="678">
        <v>8.8999999999999999E-3</v>
      </c>
      <c r="BA32" s="663"/>
      <c r="BB32" s="686">
        <v>2.11599</v>
      </c>
      <c r="BC32" s="683">
        <v>5.6589837443612918</v>
      </c>
      <c r="BD32" s="664"/>
      <c r="BE32" s="687">
        <v>0.262212</v>
      </c>
      <c r="BF32" s="687">
        <v>0.68440461798563013</v>
      </c>
      <c r="BG32" s="664"/>
      <c r="BH32" s="687">
        <v>0.26343190178624515</v>
      </c>
      <c r="BI32" s="687">
        <v>0.68906743281945149</v>
      </c>
      <c r="BJ32" s="661"/>
      <c r="BK32" s="366"/>
      <c r="BL32" s="666">
        <v>1984</v>
      </c>
      <c r="BM32" s="660"/>
      <c r="BN32" s="661"/>
      <c r="BO32" s="79"/>
      <c r="BP32" s="79"/>
      <c r="BQ32" s="79"/>
      <c r="BR32" s="79"/>
      <c r="BS32" s="79"/>
      <c r="BT32" s="79"/>
      <c r="BU32" s="366"/>
      <c r="BV32" s="666">
        <v>1984</v>
      </c>
      <c r="BW32" s="660"/>
      <c r="BX32" s="661"/>
      <c r="BY32" s="79"/>
      <c r="BZ32" s="79"/>
      <c r="CA32" s="6"/>
      <c r="CB32" s="79"/>
      <c r="CC32" s="79"/>
      <c r="CD32" s="79"/>
      <c r="CE32" s="665"/>
      <c r="CG32" s="666">
        <v>1984</v>
      </c>
      <c r="CH32" s="676"/>
      <c r="CI32" s="665"/>
      <c r="CJ32" s="336"/>
      <c r="CK32" s="336"/>
      <c r="CL32" s="697">
        <v>5.5E-2</v>
      </c>
      <c r="CM32" s="673">
        <v>2.07E-2</v>
      </c>
      <c r="CN32" s="673">
        <v>2.2499999999999999E-2</v>
      </c>
      <c r="CO32" s="674">
        <v>2.4000000000000001E-4</v>
      </c>
    </row>
    <row r="33" spans="1:93" s="361" customFormat="1" hidden="1" x14ac:dyDescent="0.25">
      <c r="A33" s="666">
        <v>1985</v>
      </c>
      <c r="B33" s="54">
        <f>IF($F$1=1.8%,LOOKUP($A33,Prix!B$6:B$127,Prix!$G$6:$G$127),IF($F$1=1.5%,LOOKUP($A33,Prix!B$6:B$127,Prix!$H$6:$H$127),IF($F$1=1.3%,LOOKUP($A33,Prix!B$6:B$127,Prix!$I$6:$I$127),LOOKUP($A33,Prix!B$6:B$127,Prix!$J$6:$J$127))))</f>
        <v>5.8145913329676446E-2</v>
      </c>
      <c r="C33" s="7">
        <f t="shared" si="0"/>
        <v>0.52219994270982528</v>
      </c>
      <c r="D33" s="56">
        <f>IF($F$1=1.8%,LOOKUP($A33,SMPT!$B$6:$B$127,SMPT!$C$6:$C$127),IF($F$1=1.5%,LOOKUP($A33,SMPT!$B$6:$B$127,SMPT!$D$6:$D$127),IF($F$1=1.3%,LOOKUP($A33,SMPT!$B$6:$B$127,SMPT!$E$6:$E$127),LOOKUP($A33,SMPT!$B$6:$B$127,SMPT!$F$6:$F$127))))</f>
        <v>16166.750095805153</v>
      </c>
      <c r="E33" s="58">
        <f t="shared" si="3"/>
        <v>5.7955371688367174E-2</v>
      </c>
      <c r="F33" s="56">
        <f>IF($F$1=1.8%,LOOKUP($A33,SMIC!$B$6:$B$125,SMIC!$C$6:$C$125),IF($F$1=1.5%,LOOKUP($A33,SMIC!$B$6:$B$125,SMIC!$D$6:$D$125),IF($F$1=1.3%,LOOKUP($A33,SMIC!$B$6:$B$125,SMIC!$E$6:$E$125),LOOKUP($A33,SMIC!$B$6:$B$125,SMIC!$F$6:$F$125))))</f>
        <v>7867.8242795776314</v>
      </c>
      <c r="G33" s="153">
        <f t="shared" si="1"/>
        <v>0.44016255773533408</v>
      </c>
      <c r="H33" s="357">
        <f t="shared" si="4"/>
        <v>7.1716078759120006E-2</v>
      </c>
      <c r="I33" s="666">
        <v>1985</v>
      </c>
      <c r="J33" s="662"/>
      <c r="K33" s="668">
        <f t="shared" si="6"/>
        <v>0.13999999999999999</v>
      </c>
      <c r="L33" s="668">
        <v>8.199999999999999E-2</v>
      </c>
      <c r="M33" s="668">
        <v>5.8000000000000003E-2</v>
      </c>
      <c r="N33" s="668">
        <f t="shared" si="7"/>
        <v>1E-3</v>
      </c>
      <c r="O33" s="668">
        <f>IF(Simulation!$D$43="Oui",$Q33,0)</f>
        <v>0</v>
      </c>
      <c r="P33" s="668">
        <f>IF(Simulation!$D$43="Oui",$R33,0)</f>
        <v>1E-3</v>
      </c>
      <c r="Q33" s="677">
        <v>0</v>
      </c>
      <c r="R33" s="677">
        <v>1E-3</v>
      </c>
      <c r="S33" s="56">
        <f>IF($F$1=1.8%,LOOKUP($A33,Sal_valid!$B$6:$B$127,Sal_valid!$C$6:$C$127),IF($F$1=1.5%,LOOKUP($A33,Sal_valid!$B$6:$B$127,Sal_valid!$D$6:$D$127),IF($F$1=1.3%,LOOKUP($A33,Sal_valid!$B$6:$B$127,Sal_valid!$E$6:$E$127),LOOKUP($A33,Sal_valid!$B$6:$B$127,Sal_valid!$F$6:$F$127))))</f>
        <v>742.73161198066339</v>
      </c>
      <c r="T33" s="73">
        <f>Revalo_RB!$D45</f>
        <v>2.3228111971411503E-2</v>
      </c>
      <c r="U33" s="73">
        <f>Revalo_RB!$H45</f>
        <v>4.4996161268233914E-2</v>
      </c>
      <c r="V33" s="56">
        <f>IF($F$1=1.8%,LOOKUP($A33,PSS!$B$6:$B$127,PSS!$C$6:$C$127),IF($F$1=1.5%,LOOKUP($A33,PSS!$B$6:$B$127,PSS!$D$6:$D$127),IF($F$1=1.3%,LOOKUP($A33,PSS!$B$6:$B$127,PSS!$E$6:$E$127),LOOKUP($A33,PSS!$B$6:$B$127,PSS!$F$6:$F$127))))</f>
        <v>16274.889051051019</v>
      </c>
      <c r="W33" s="56">
        <f>IF($F$1=1.8%,LOOKUP($A33,Smic_AVPF!$B$6:$B$104,Smic_AVPF!$C$6:$C$104),IF($F$1=1.5%,LOOKUP($A33,Smic_AVPF!$B$6:$B$104,Smic_AVPF!$D$6:$D$104),IF($F$1=1.3%,LOOKUP($A33,Smic_AVPF!$B$6:$B$104,Smic_AVPF!$E$6:$E$104),LOOKUP($A33,Smic_AVPF!$B$6:$B$104,Smic_AVPF!$F$6:$F$104))))</f>
        <v>7370.5319098660411</v>
      </c>
      <c r="X33" s="56">
        <v>4187.2317850102982</v>
      </c>
      <c r="Y33" s="56"/>
      <c r="Z33" s="56"/>
      <c r="AA33" s="337"/>
      <c r="AB33" s="666">
        <v>1985</v>
      </c>
      <c r="AC33" s="672">
        <v>0.04</v>
      </c>
      <c r="AD33" s="673">
        <v>2.4E-2</v>
      </c>
      <c r="AE33" s="673">
        <v>1.6E-2</v>
      </c>
      <c r="AF33" s="668">
        <v>0.08</v>
      </c>
      <c r="AG33" s="668">
        <v>0.06</v>
      </c>
      <c r="AH33" s="668">
        <v>0.02</v>
      </c>
      <c r="AI33" s="337"/>
      <c r="AJ33" s="667">
        <v>1.1499999999999999</v>
      </c>
      <c r="AK33" s="667">
        <v>1.03</v>
      </c>
      <c r="AL33" s="337"/>
      <c r="AM33" s="337"/>
      <c r="AN33" s="337"/>
      <c r="AO33" s="337"/>
      <c r="AP33" s="337"/>
      <c r="AQ33" s="668">
        <f t="shared" si="8"/>
        <v>0.02</v>
      </c>
      <c r="AR33" s="668">
        <f>IF(Simulation!$D$42="Oui",Barèmes!$AT33,0)</f>
        <v>1.2E-2</v>
      </c>
      <c r="AS33" s="668">
        <f>IF(Simulation!$D$42="Oui",Barèmes!$AU33,0)</f>
        <v>8.0000000000000002E-3</v>
      </c>
      <c r="AT33" s="678">
        <v>1.2E-2</v>
      </c>
      <c r="AU33" s="678">
        <v>8.0000000000000002E-3</v>
      </c>
      <c r="AV33" s="668">
        <f t="shared" si="9"/>
        <v>2.18E-2</v>
      </c>
      <c r="AW33" s="668">
        <f>IF(Simulation!$D$42="Oui",Barèmes!$AY33,0)</f>
        <v>1.29E-2</v>
      </c>
      <c r="AX33" s="668">
        <f>IF(Simulation!$D$42="Oui",Barèmes!$AZ33,0)</f>
        <v>8.8999999999999999E-3</v>
      </c>
      <c r="AY33" s="678">
        <v>1.29E-2</v>
      </c>
      <c r="AZ33" s="678">
        <v>8.8999999999999999E-3</v>
      </c>
      <c r="BA33" s="663"/>
      <c r="BB33" s="686">
        <v>2.25929</v>
      </c>
      <c r="BC33" s="683">
        <v>6.0551072707509785</v>
      </c>
      <c r="BD33" s="664"/>
      <c r="BE33" s="687">
        <v>0.27288400000000002</v>
      </c>
      <c r="BF33" s="687">
        <v>0.72718181222244749</v>
      </c>
      <c r="BG33" s="664"/>
      <c r="BH33" s="687">
        <v>0.27661874177728113</v>
      </c>
      <c r="BI33" s="687">
        <v>0.73213414737066718</v>
      </c>
      <c r="BJ33" s="661"/>
      <c r="BK33" s="366"/>
      <c r="BL33" s="666">
        <v>1985</v>
      </c>
      <c r="BM33" s="660"/>
      <c r="BN33" s="661"/>
      <c r="BO33" s="79"/>
      <c r="BP33" s="79"/>
      <c r="BQ33" s="79"/>
      <c r="BR33" s="79"/>
      <c r="BS33" s="79"/>
      <c r="BT33" s="79"/>
      <c r="BU33" s="366"/>
      <c r="BV33" s="666">
        <v>1985</v>
      </c>
      <c r="BW33" s="660"/>
      <c r="BX33" s="661"/>
      <c r="BY33" s="79"/>
      <c r="BZ33" s="79"/>
      <c r="CA33" s="6"/>
      <c r="CB33" s="79"/>
      <c r="CC33" s="79"/>
      <c r="CD33" s="79"/>
      <c r="CE33" s="665"/>
      <c r="CG33" s="666">
        <v>1985</v>
      </c>
      <c r="CH33" s="676"/>
      <c r="CI33" s="665"/>
      <c r="CJ33" s="336"/>
      <c r="CK33" s="336"/>
      <c r="CL33" s="697">
        <v>5.5E-2</v>
      </c>
      <c r="CM33" s="673">
        <v>2.3199999999999998E-2</v>
      </c>
      <c r="CN33" s="673">
        <v>2.8199999999999999E-2</v>
      </c>
      <c r="CO33" s="674">
        <v>2.4000000000000001E-4</v>
      </c>
    </row>
    <row r="34" spans="1:93" s="361" customFormat="1" hidden="1" x14ac:dyDescent="0.25">
      <c r="A34" s="666">
        <v>1986</v>
      </c>
      <c r="B34" s="54">
        <f>IF($F$1=1.8%,LOOKUP($A34,Prix!B$6:B$127,Prix!$G$6:$G$127),IF($F$1=1.5%,LOOKUP($A34,Prix!B$6:B$127,Prix!$H$6:$H$127),IF($F$1=1.3%,LOOKUP($A34,Prix!B$6:B$127,Prix!$I$6:$I$127),LOOKUP($A34,Prix!B$6:B$127,Prix!$J$6:$J$127))))</f>
        <v>2.6611370312769944E-2</v>
      </c>
      <c r="C34" s="7">
        <f t="shared" si="0"/>
        <v>0.55256373531939285</v>
      </c>
      <c r="D34" s="56">
        <f>IF($F$1=1.8%,LOOKUP($A34,SMPT!$B$6:$B$127,SMPT!$C$6:$C$127),IF($F$1=1.5%,LOOKUP($A34,SMPT!$B$6:$B$127,SMPT!$D$6:$D$127),IF($F$1=1.3%,LOOKUP($A34,SMPT!$B$6:$B$127,SMPT!$E$6:$E$127),LOOKUP($A34,SMPT!$B$6:$B$127,SMPT!$F$6:$F$127))))</f>
        <v>16898.901034637343</v>
      </c>
      <c r="E34" s="58">
        <f t="shared" si="3"/>
        <v>4.5287453229215346E-2</v>
      </c>
      <c r="F34" s="56">
        <f>IF($F$1=1.8%,LOOKUP($A34,SMIC!$B$6:$B$125,SMIC!$C$6:$C$125),IF($F$1=1.5%,LOOKUP($A34,SMIC!$B$6:$B$125,SMIC!$D$6:$D$125),IF($F$1=1.3%,LOOKUP($A34,SMIC!$B$6:$B$125,SMIC!$E$6:$E$125),LOOKUP($A34,SMIC!$B$6:$B$125,SMIC!$F$6:$F$125))))</f>
        <v>8201.8258589076831</v>
      </c>
      <c r="G34" s="153">
        <f t="shared" si="1"/>
        <v>0.46009639898202487</v>
      </c>
      <c r="H34" s="357">
        <f t="shared" si="4"/>
        <v>5.1112199238105838E-2</v>
      </c>
      <c r="I34" s="666">
        <v>1986</v>
      </c>
      <c r="J34" s="662"/>
      <c r="K34" s="668">
        <f t="shared" si="6"/>
        <v>0.14699999999999999</v>
      </c>
      <c r="L34" s="668">
        <v>8.199999999999999E-2</v>
      </c>
      <c r="M34" s="668">
        <v>6.5000000000000002E-2</v>
      </c>
      <c r="N34" s="668">
        <f t="shared" si="7"/>
        <v>1E-3</v>
      </c>
      <c r="O34" s="668">
        <f>IF(Simulation!$D$43="Oui",$Q34,0)</f>
        <v>0</v>
      </c>
      <c r="P34" s="668">
        <f>IF(Simulation!$D$43="Oui",$R34,0)</f>
        <v>1E-3</v>
      </c>
      <c r="Q34" s="677">
        <v>0</v>
      </c>
      <c r="R34" s="677">
        <v>1E-3</v>
      </c>
      <c r="S34" s="56">
        <f>IF($F$1=1.8%,LOOKUP($A34,Sal_valid!$B$6:$B$127,Sal_valid!$C$6:$C$127),IF($F$1=1.5%,LOOKUP($A34,Sal_valid!$B$6:$B$127,Sal_valid!$D$6:$D$127),IF($F$1=1.3%,LOOKUP($A34,Sal_valid!$B$6:$B$127,Sal_valid!$E$6:$E$127),LOOKUP($A34,Sal_valid!$B$6:$B$127,Sal_valid!$F$6:$F$127))))</f>
        <v>793.95448177243327</v>
      </c>
      <c r="T34" s="73">
        <f>Revalo_RB!$D46</f>
        <v>3.7700865265760219E-2</v>
      </c>
      <c r="U34" s="73">
        <f>Revalo_RB!$H46</f>
        <v>0</v>
      </c>
      <c r="V34" s="56">
        <f>IF($F$1=1.8%,LOOKUP($A34,PSS!$B$6:$B$127,PSS!$C$6:$C$127),IF($F$1=1.5%,LOOKUP($A34,PSS!$B$6:$B$127,PSS!$D$6:$D$127),IF($F$1=1.3%,LOOKUP($A34,PSS!$B$6:$B$127,PSS!$E$6:$E$127),LOOKUP($A34,PSS!$B$6:$B$127,PSS!$F$6:$F$127))))</f>
        <v>17106.734422806407</v>
      </c>
      <c r="W34" s="56">
        <f>IF($F$1=1.8%,LOOKUP($A34,Smic_AVPF!$B$6:$B$104,Smic_AVPF!$C$6:$C$104),IF($F$1=1.5%,LOOKUP($A34,Smic_AVPF!$B$6:$B$104,Smic_AVPF!$D$6:$D$104),IF($F$1=1.3%,LOOKUP($A34,Smic_AVPF!$B$6:$B$104,Smic_AVPF!$E$6:$E$104),LOOKUP($A34,Smic_AVPF!$B$6:$B$104,Smic_AVPF!$F$6:$F$104))))</f>
        <v>8050.6984451724729</v>
      </c>
      <c r="X34" s="56">
        <v>4329.594775267281</v>
      </c>
      <c r="Y34" s="56"/>
      <c r="Z34" s="56"/>
      <c r="AA34" s="337"/>
      <c r="AB34" s="666">
        <v>1986</v>
      </c>
      <c r="AC34" s="672">
        <v>0.04</v>
      </c>
      <c r="AD34" s="673">
        <v>2.4E-2</v>
      </c>
      <c r="AE34" s="673">
        <v>1.6E-2</v>
      </c>
      <c r="AF34" s="668">
        <v>0.08</v>
      </c>
      <c r="AG34" s="668">
        <v>0.06</v>
      </c>
      <c r="AH34" s="668">
        <v>0.02</v>
      </c>
      <c r="AI34" s="337"/>
      <c r="AJ34" s="667">
        <v>1.1499999999999999</v>
      </c>
      <c r="AK34" s="667">
        <v>1.06</v>
      </c>
      <c r="AL34" s="337"/>
      <c r="AM34" s="337"/>
      <c r="AN34" s="337"/>
      <c r="AO34" s="337"/>
      <c r="AP34" s="337"/>
      <c r="AQ34" s="668">
        <f t="shared" si="8"/>
        <v>0.02</v>
      </c>
      <c r="AR34" s="668">
        <f>IF(Simulation!$D$42="Oui",Barèmes!$AT34,0)</f>
        <v>1.2E-2</v>
      </c>
      <c r="AS34" s="668">
        <f>IF(Simulation!$D$42="Oui",Barèmes!$AU34,0)</f>
        <v>8.0000000000000002E-3</v>
      </c>
      <c r="AT34" s="678">
        <v>1.2E-2</v>
      </c>
      <c r="AU34" s="678">
        <v>8.0000000000000002E-3</v>
      </c>
      <c r="AV34" s="668">
        <f t="shared" si="9"/>
        <v>2.18E-2</v>
      </c>
      <c r="AW34" s="668">
        <f>IF(Simulation!$D$42="Oui",Barèmes!$AY34,0)</f>
        <v>1.29E-2</v>
      </c>
      <c r="AX34" s="668">
        <f>IF(Simulation!$D$42="Oui",Barèmes!$AZ34,0)</f>
        <v>8.8999999999999999E-3</v>
      </c>
      <c r="AY34" s="678">
        <v>1.29E-2</v>
      </c>
      <c r="AZ34" s="678">
        <v>8.8999999999999999E-3</v>
      </c>
      <c r="BA34" s="663"/>
      <c r="BB34" s="686">
        <v>2.3782000000000001</v>
      </c>
      <c r="BC34" s="683">
        <v>6.3427328315728015</v>
      </c>
      <c r="BD34" s="664"/>
      <c r="BE34" s="687">
        <v>0.28462199999999999</v>
      </c>
      <c r="BF34" s="687">
        <v>0.75915037113713246</v>
      </c>
      <c r="BG34" s="664"/>
      <c r="BH34" s="687">
        <v>0.28599435633738185</v>
      </c>
      <c r="BI34" s="687">
        <v>0.76434804985497651</v>
      </c>
      <c r="BJ34" s="661"/>
      <c r="BK34" s="366"/>
      <c r="BL34" s="666">
        <v>1986</v>
      </c>
      <c r="BM34" s="660"/>
      <c r="BN34" s="661"/>
      <c r="BO34" s="79"/>
      <c r="BP34" s="79"/>
      <c r="BQ34" s="79"/>
      <c r="BR34" s="79"/>
      <c r="BS34" s="79"/>
      <c r="BT34" s="79"/>
      <c r="BU34" s="366"/>
      <c r="BV34" s="666">
        <v>1986</v>
      </c>
      <c r="BW34" s="660"/>
      <c r="BX34" s="661"/>
      <c r="BY34" s="79"/>
      <c r="BZ34" s="79"/>
      <c r="CA34" s="6"/>
      <c r="CB34" s="79"/>
      <c r="CC34" s="79"/>
      <c r="CD34" s="79"/>
      <c r="CE34" s="665"/>
      <c r="CG34" s="666">
        <v>1986</v>
      </c>
      <c r="CH34" s="676"/>
      <c r="CI34" s="665"/>
      <c r="CJ34" s="336"/>
      <c r="CK34" s="336"/>
      <c r="CL34" s="697">
        <v>5.5E-2</v>
      </c>
      <c r="CM34" s="673">
        <v>2.3099999999999999E-2</v>
      </c>
      <c r="CN34" s="673">
        <v>2.81E-2</v>
      </c>
      <c r="CO34" s="674">
        <v>2.4000000000000001E-4</v>
      </c>
    </row>
    <row r="35" spans="1:93" s="361" customFormat="1" hidden="1" x14ac:dyDescent="0.25">
      <c r="A35" s="666">
        <v>1987</v>
      </c>
      <c r="B35" s="54">
        <f>IF($F$1=1.8%,LOOKUP($A35,Prix!B$6:B$127,Prix!$G$6:$G$127),IF($F$1=1.5%,LOOKUP($A35,Prix!B$6:B$127,Prix!$H$6:$H$127),IF($F$1=1.3%,LOOKUP($A35,Prix!B$6:B$127,Prix!$I$6:$I$127),LOOKUP($A35,Prix!B$6:B$127,Prix!$J$6:$J$127))))</f>
        <v>3.1476182460865365E-2</v>
      </c>
      <c r="C35" s="7">
        <f t="shared" si="0"/>
        <v>0.56726821350138457</v>
      </c>
      <c r="D35" s="56">
        <f>IF($F$1=1.8%,LOOKUP($A35,SMPT!$B$6:$B$127,SMPT!$C$6:$C$127),IF($F$1=1.5%,LOOKUP($A35,SMPT!$B$6:$B$127,SMPT!$D$6:$D$127),IF($F$1=1.3%,LOOKUP($A35,SMPT!$B$6:$B$127,SMPT!$E$6:$E$127),LOOKUP($A35,SMPT!$B$6:$B$127,SMPT!$F$6:$F$127))))</f>
        <v>17335.596237108864</v>
      </c>
      <c r="E35" s="58">
        <f t="shared" si="3"/>
        <v>2.5841633226707295E-2</v>
      </c>
      <c r="F35" s="56">
        <f>IF($F$1=1.8%,LOOKUP($A35,SMIC!$B$6:$B$125,SMIC!$C$6:$C$125),IF($F$1=1.5%,LOOKUP($A35,SMIC!$B$6:$B$125,SMIC!$D$6:$D$125),IF($F$1=1.3%,LOOKUP($A35,SMIC!$B$6:$B$125,SMIC!$E$6:$E$125),LOOKUP($A35,SMIC!$B$6:$B$125,SMIC!$F$6:$F$125))))</f>
        <v>8533.3202241100807</v>
      </c>
      <c r="G35" s="153">
        <f t="shared" si="1"/>
        <v>0.47198604137344713</v>
      </c>
      <c r="H35" s="357">
        <f t="shared" si="4"/>
        <v>4.1149791687419723E-2</v>
      </c>
      <c r="I35" s="666">
        <v>1987</v>
      </c>
      <c r="J35" s="662"/>
      <c r="K35" s="668">
        <f t="shared" si="6"/>
        <v>0.14899999999999999</v>
      </c>
      <c r="L35" s="668">
        <v>8.199999999999999E-2</v>
      </c>
      <c r="M35" s="668">
        <v>6.7000000000000004E-2</v>
      </c>
      <c r="N35" s="668">
        <f t="shared" si="7"/>
        <v>1E-3</v>
      </c>
      <c r="O35" s="668">
        <f>IF(Simulation!$D$43="Oui",$Q35,0)</f>
        <v>0</v>
      </c>
      <c r="P35" s="668">
        <f>IF(Simulation!$D$43="Oui",$R35,0)</f>
        <v>1E-3</v>
      </c>
      <c r="Q35" s="677">
        <v>0</v>
      </c>
      <c r="R35" s="677">
        <v>1E-3</v>
      </c>
      <c r="S35" s="56">
        <f>IF($F$1=1.8%,LOOKUP($A35,Sal_valid!$B$6:$B$127,Sal_valid!$C$6:$C$127),IF($F$1=1.5%,LOOKUP($A35,Sal_valid!$B$6:$B$127,Sal_valid!$D$6:$D$127),IF($F$1=1.3%,LOOKUP($A35,Sal_valid!$B$6:$B$127,Sal_valid!$E$6:$E$127),LOOKUP($A35,Sal_valid!$B$6:$B$127,Sal_valid!$F$6:$F$127))))</f>
        <v>820.78550880621754</v>
      </c>
      <c r="T35" s="73">
        <f>Revalo_RB!$D47</f>
        <v>2.3402909550917173E-2</v>
      </c>
      <c r="U35" s="73">
        <f>Revalo_RB!$H47</f>
        <v>2.1000665190671564E-2</v>
      </c>
      <c r="V35" s="56">
        <f>IF($F$1=1.8%,LOOKUP($A35,PSS!$B$6:$B$127,PSS!$C$6:$C$127),IF($F$1=1.5%,LOOKUP($A35,PSS!$B$6:$B$127,PSS!$D$6:$D$127),IF($F$1=1.3%,LOOKUP($A35,PSS!$B$6:$B$127,PSS!$E$6:$E$127),LOOKUP($A35,PSS!$B$6:$B$127,PSS!$F$6:$F$127))))</f>
        <v>17810.672980756903</v>
      </c>
      <c r="W35" s="56">
        <f>IF($F$1=1.8%,LOOKUP($A35,Smic_AVPF!$B$6:$B$104,Smic_AVPF!$C$6:$C$104),IF($F$1=1.5%,LOOKUP($A35,Smic_AVPF!$B$6:$B$104,Smic_AVPF!$D$6:$D$104),IF($F$1=1.3%,LOOKUP($A35,Smic_AVPF!$B$6:$B$104,Smic_AVPF!$E$6:$E$104),LOOKUP($A35,Smic_AVPF!$B$6:$B$104,Smic_AVPF!$F$6:$F$104))))</f>
        <v>8322.7650592950449</v>
      </c>
      <c r="X35" s="56">
        <v>4450.8222337744701</v>
      </c>
      <c r="Y35" s="56"/>
      <c r="Z35" s="56"/>
      <c r="AA35" s="337"/>
      <c r="AB35" s="666">
        <v>1987</v>
      </c>
      <c r="AC35" s="672">
        <v>0.04</v>
      </c>
      <c r="AD35" s="673">
        <v>2.4E-2</v>
      </c>
      <c r="AE35" s="673">
        <v>1.6E-2</v>
      </c>
      <c r="AF35" s="668">
        <v>0.08</v>
      </c>
      <c r="AG35" s="668">
        <v>0.06</v>
      </c>
      <c r="AH35" s="668">
        <v>0.02</v>
      </c>
      <c r="AI35" s="337"/>
      <c r="AJ35" s="667">
        <v>1.175</v>
      </c>
      <c r="AK35" s="667">
        <v>1.1000000000000001</v>
      </c>
      <c r="AL35" s="337"/>
      <c r="AM35" s="337"/>
      <c r="AN35" s="337"/>
      <c r="AO35" s="337"/>
      <c r="AP35" s="337"/>
      <c r="AQ35" s="668">
        <f t="shared" si="8"/>
        <v>0.02</v>
      </c>
      <c r="AR35" s="668">
        <f>IF(Simulation!$D$42="Oui",Barèmes!$AT35,0)</f>
        <v>1.2E-2</v>
      </c>
      <c r="AS35" s="668">
        <f>IF(Simulation!$D$42="Oui",Barèmes!$AU35,0)</f>
        <v>8.0000000000000002E-3</v>
      </c>
      <c r="AT35" s="678">
        <v>1.2E-2</v>
      </c>
      <c r="AU35" s="678">
        <v>8.0000000000000002E-3</v>
      </c>
      <c r="AV35" s="668">
        <f t="shared" si="9"/>
        <v>2.18E-2</v>
      </c>
      <c r="AW35" s="668">
        <f>IF(Simulation!$D$42="Oui",Barèmes!$AY35,0)</f>
        <v>1.29E-2</v>
      </c>
      <c r="AX35" s="668">
        <f>IF(Simulation!$D$42="Oui",Barèmes!$AZ35,0)</f>
        <v>8.8999999999999999E-3</v>
      </c>
      <c r="AY35" s="678">
        <v>1.29E-2</v>
      </c>
      <c r="AZ35" s="678">
        <v>8.8999999999999999E-3</v>
      </c>
      <c r="BA35" s="663"/>
      <c r="BB35" s="686">
        <v>2.4422299999999999</v>
      </c>
      <c r="BC35" s="683">
        <v>6.6021553242057021</v>
      </c>
      <c r="BD35" s="664"/>
      <c r="BE35" s="687">
        <v>0.29178700000000002</v>
      </c>
      <c r="BF35" s="687">
        <v>0.78290192802272107</v>
      </c>
      <c r="BG35" s="664"/>
      <c r="BH35" s="687">
        <v>0.29285456211306532</v>
      </c>
      <c r="BI35" s="687">
        <v>0.78827214381543731</v>
      </c>
      <c r="BJ35" s="661"/>
      <c r="BK35" s="366"/>
      <c r="BL35" s="666">
        <v>1987</v>
      </c>
      <c r="BM35" s="660"/>
      <c r="BN35" s="661"/>
      <c r="BO35" s="79"/>
      <c r="BP35" s="79"/>
      <c r="BQ35" s="79"/>
      <c r="BR35" s="79"/>
      <c r="BS35" s="79"/>
      <c r="BT35" s="79"/>
      <c r="BU35" s="366"/>
      <c r="BV35" s="666">
        <v>1987</v>
      </c>
      <c r="BW35" s="660"/>
      <c r="BX35" s="661"/>
      <c r="BY35" s="79"/>
      <c r="BZ35" s="79"/>
      <c r="CA35" s="6"/>
      <c r="CB35" s="79"/>
      <c r="CC35" s="79"/>
      <c r="CD35" s="79"/>
      <c r="CE35" s="665"/>
      <c r="CG35" s="666">
        <v>1987</v>
      </c>
      <c r="CH35" s="676"/>
      <c r="CI35" s="665"/>
      <c r="CJ35" s="336"/>
      <c r="CK35" s="336"/>
      <c r="CL35" s="697">
        <v>5.7000000000000002E-2</v>
      </c>
      <c r="CM35" s="673">
        <v>2.3099999999999999E-2</v>
      </c>
      <c r="CN35" s="673">
        <v>2.81E-2</v>
      </c>
      <c r="CO35" s="674">
        <v>2.4000000000000001E-4</v>
      </c>
    </row>
    <row r="36" spans="1:93" s="361" customFormat="1" hidden="1" x14ac:dyDescent="0.25">
      <c r="A36" s="666">
        <v>1988</v>
      </c>
      <c r="B36" s="54">
        <f>IF($F$1=1.8%,LOOKUP($A36,Prix!B$6:B$127,Prix!$G$6:$G$127),IF($F$1=1.5%,LOOKUP($A36,Prix!B$6:B$127,Prix!$H$6:$H$127),IF($F$1=1.3%,LOOKUP($A36,Prix!B$6:B$127,Prix!$I$6:$I$127),LOOKUP($A36,Prix!B$6:B$127,Prix!$J$6:$J$127))))</f>
        <v>2.6925587467362844E-2</v>
      </c>
      <c r="C36" s="7">
        <f t="shared" si="0"/>
        <v>0.58512365129380328</v>
      </c>
      <c r="D36" s="56">
        <f>IF($F$1=1.8%,LOOKUP($A36,SMPT!$B$6:$B$127,SMPT!$C$6:$C$127),IF($F$1=1.5%,LOOKUP($A36,SMPT!$B$6:$B$127,SMPT!$D$6:$D$127),IF($F$1=1.3%,LOOKUP($A36,SMPT!$B$6:$B$127,SMPT!$E$6:$E$127),LOOKUP($A36,SMPT!$B$6:$B$127,SMPT!$F$6:$F$127))))</f>
        <v>18081.78256965163</v>
      </c>
      <c r="E36" s="58">
        <f t="shared" si="3"/>
        <v>4.3043592059756719E-2</v>
      </c>
      <c r="F36" s="56">
        <f>IF($F$1=1.8%,LOOKUP($A36,SMIC!$B$6:$B$125,SMIC!$C$6:$C$125),IF($F$1=1.5%,LOOKUP($A36,SMIC!$B$6:$B$125,SMIC!$D$6:$D$125),IF($F$1=1.3%,LOOKUP($A36,SMIC!$B$6:$B$125,SMIC!$E$6:$E$125),LOOKUP($A36,SMIC!$B$6:$B$125,SMIC!$F$6:$F$125))))</f>
        <v>8766.4106931039605</v>
      </c>
      <c r="G36" s="153">
        <f t="shared" si="1"/>
        <v>0.49230201599622514</v>
      </c>
      <c r="H36" s="357">
        <f t="shared" si="4"/>
        <v>3.0256603277679872E-2</v>
      </c>
      <c r="I36" s="666">
        <v>1988</v>
      </c>
      <c r="J36" s="662"/>
      <c r="K36" s="668">
        <f t="shared" si="6"/>
        <v>0.14899999999999999</v>
      </c>
      <c r="L36" s="668">
        <v>8.199999999999999E-2</v>
      </c>
      <c r="M36" s="668">
        <v>6.7000000000000004E-2</v>
      </c>
      <c r="N36" s="668">
        <f t="shared" si="7"/>
        <v>1E-3</v>
      </c>
      <c r="O36" s="668">
        <f>IF(Simulation!$D$43="Oui",$Q36,0)</f>
        <v>0</v>
      </c>
      <c r="P36" s="668">
        <f>IF(Simulation!$D$43="Oui",$R36,0)</f>
        <v>1E-3</v>
      </c>
      <c r="Q36" s="677">
        <v>0</v>
      </c>
      <c r="R36" s="677">
        <v>1E-3</v>
      </c>
      <c r="S36" s="56">
        <f>IF($F$1=1.8%,LOOKUP($A36,Sal_valid!$B$6:$B$127,Sal_valid!$C$6:$C$127),IF($F$1=1.5%,LOOKUP($A36,Sal_valid!$B$6:$B$127,Sal_valid!$D$6:$D$127),IF($F$1=1.3%,LOOKUP($A36,Sal_valid!$B$6:$B$127,Sal_valid!$E$6:$E$127),LOOKUP($A36,Sal_valid!$B$6:$B$127,Sal_valid!$F$6:$F$127))))</f>
        <v>848.83612797790101</v>
      </c>
      <c r="T36" s="73">
        <f>Revalo_RB!$D48</f>
        <v>3.6721311475409912E-2</v>
      </c>
      <c r="U36" s="73">
        <f>Revalo_RB!$H48</f>
        <v>2.0012009150291776E-2</v>
      </c>
      <c r="V36" s="56">
        <f>IF($F$1=1.8%,LOOKUP($A36,PSS!$B$6:$B$127,PSS!$C$6:$C$127),IF($F$1=1.5%,LOOKUP($A36,PSS!$B$6:$B$127,PSS!$D$6:$D$127),IF($F$1=1.3%,LOOKUP($A36,PSS!$B$6:$B$127,PSS!$E$6:$E$127),LOOKUP($A36,PSS!$B$6:$B$127,PSS!$F$6:$F$127))))</f>
        <v>18349.563447244156</v>
      </c>
      <c r="W36" s="56">
        <f>IF($F$1=1.8%,LOOKUP($A36,Smic_AVPF!$B$6:$B$104,Smic_AVPF!$C$6:$C$104),IF($F$1=1.5%,LOOKUP($A36,Smic_AVPF!$B$6:$B$104,Smic_AVPF!$D$6:$D$104),IF($F$1=1.3%,LOOKUP($A36,Smic_AVPF!$B$6:$B$104,Smic_AVPF!$E$6:$E$104),LOOKUP($A36,Smic_AVPF!$B$6:$B$104,Smic_AVPF!$F$6:$F$104))))</f>
        <v>8607.1983376959161</v>
      </c>
      <c r="X36" s="56">
        <v>4508.6857827571021</v>
      </c>
      <c r="Y36" s="56"/>
      <c r="Z36" s="56"/>
      <c r="AA36" s="337"/>
      <c r="AB36" s="666">
        <v>1988</v>
      </c>
      <c r="AC36" s="672">
        <v>0.04</v>
      </c>
      <c r="AD36" s="673">
        <v>2.4E-2</v>
      </c>
      <c r="AE36" s="673">
        <v>1.6E-2</v>
      </c>
      <c r="AF36" s="668">
        <v>0.08</v>
      </c>
      <c r="AG36" s="668">
        <v>0.06</v>
      </c>
      <c r="AH36" s="668">
        <v>0.02</v>
      </c>
      <c r="AI36" s="337"/>
      <c r="AJ36" s="667">
        <v>1.2</v>
      </c>
      <c r="AK36" s="667">
        <v>1.1000000000000001</v>
      </c>
      <c r="AL36" s="337"/>
      <c r="AM36" s="337"/>
      <c r="AN36" s="337"/>
      <c r="AO36" s="337"/>
      <c r="AP36" s="337"/>
      <c r="AQ36" s="668">
        <f t="shared" si="8"/>
        <v>0.02</v>
      </c>
      <c r="AR36" s="668">
        <f>IF(Simulation!$D$42="Oui",Barèmes!$AT36,0)</f>
        <v>1.2E-2</v>
      </c>
      <c r="AS36" s="668">
        <f>IF(Simulation!$D$42="Oui",Barèmes!$AU36,0)</f>
        <v>8.0000000000000002E-3</v>
      </c>
      <c r="AT36" s="678">
        <v>1.2E-2</v>
      </c>
      <c r="AU36" s="678">
        <v>8.0000000000000002E-3</v>
      </c>
      <c r="AV36" s="668">
        <f t="shared" si="9"/>
        <v>2.18E-2</v>
      </c>
      <c r="AW36" s="668">
        <f>IF(Simulation!$D$42="Oui",Barèmes!$AY36,0)</f>
        <v>1.29E-2</v>
      </c>
      <c r="AX36" s="668">
        <f>IF(Simulation!$D$42="Oui",Barèmes!$AZ36,0)</f>
        <v>8.8999999999999999E-3</v>
      </c>
      <c r="AY36" s="678">
        <v>1.29E-2</v>
      </c>
      <c r="AZ36" s="678">
        <v>8.8999999999999999E-3</v>
      </c>
      <c r="BA36" s="663"/>
      <c r="BB36" s="686">
        <v>2.5428500000000001</v>
      </c>
      <c r="BC36" s="683">
        <v>6.8715174927624822</v>
      </c>
      <c r="BD36" s="664"/>
      <c r="BE36" s="687">
        <v>0.30078199999999999</v>
      </c>
      <c r="BF36" s="687">
        <v>0.8048240967014606</v>
      </c>
      <c r="BG36" s="664"/>
      <c r="BH36" s="687">
        <v>0.30078191100941071</v>
      </c>
      <c r="BI36" s="687">
        <v>0.81034376384226958</v>
      </c>
      <c r="BJ36" s="661"/>
      <c r="BK36" s="366"/>
      <c r="BL36" s="666">
        <v>1988</v>
      </c>
      <c r="BM36" s="660"/>
      <c r="BN36" s="661"/>
      <c r="BO36" s="79"/>
      <c r="BP36" s="79"/>
      <c r="BQ36" s="79"/>
      <c r="BR36" s="79"/>
      <c r="BS36" s="79"/>
      <c r="BT36" s="79"/>
      <c r="BU36" s="366"/>
      <c r="BV36" s="666">
        <v>1988</v>
      </c>
      <c r="BW36" s="660"/>
      <c r="BX36" s="661"/>
      <c r="BY36" s="79"/>
      <c r="BZ36" s="79"/>
      <c r="CA36" s="6"/>
      <c r="CB36" s="79"/>
      <c r="CC36" s="79"/>
      <c r="CD36" s="79"/>
      <c r="CE36" s="665"/>
      <c r="CG36" s="666">
        <v>1988</v>
      </c>
      <c r="CH36" s="676"/>
      <c r="CI36" s="665"/>
      <c r="CJ36" s="336"/>
      <c r="CK36" s="336"/>
      <c r="CL36" s="697">
        <v>5.9000000000000004E-2</v>
      </c>
      <c r="CM36" s="673">
        <v>2.4700000000000003E-2</v>
      </c>
      <c r="CN36" s="673">
        <v>2.9700000000000001E-2</v>
      </c>
      <c r="CO36" s="674">
        <v>2.4000000000000001E-4</v>
      </c>
    </row>
    <row r="37" spans="1:93" s="361" customFormat="1" hidden="1" x14ac:dyDescent="0.25">
      <c r="A37" s="666">
        <v>1989</v>
      </c>
      <c r="B37" s="54">
        <f>IF($F$1=1.8%,LOOKUP($A37,Prix!B$6:B$127,Prix!$G$6:$G$127),IF($F$1=1.5%,LOOKUP($A37,Prix!B$6:B$127,Prix!$H$6:$H$127),IF($F$1=1.3%,LOOKUP($A37,Prix!B$6:B$127,Prix!$I$6:$I$127),LOOKUP($A37,Prix!B$6:B$127,Prix!$J$6:$J$127))))</f>
        <v>3.6071825838233096E-2</v>
      </c>
      <c r="C37" s="7">
        <f t="shared" si="0"/>
        <v>0.60087844934593726</v>
      </c>
      <c r="D37" s="56">
        <f>IF($F$1=1.8%,LOOKUP($A37,SMPT!$B$6:$B$127,SMPT!$C$6:$C$127),IF($F$1=1.5%,LOOKUP($A37,SMPT!$B$6:$B$127,SMPT!$D$6:$D$127),IF($F$1=1.3%,LOOKUP($A37,SMPT!$B$6:$B$127,SMPT!$E$6:$E$127),LOOKUP($A37,SMPT!$B$6:$B$127,SMPT!$F$6:$F$127))))</f>
        <v>19090.948589268417</v>
      </c>
      <c r="E37" s="58">
        <f t="shared" si="3"/>
        <v>5.5811202005634497E-2</v>
      </c>
      <c r="F37" s="56">
        <f>IF($F$1=1.8%,LOOKUP($A37,SMIC!$B$6:$B$125,SMIC!$C$6:$C$125),IF($F$1=1.5%,LOOKUP($A37,SMIC!$B$6:$B$125,SMIC!$D$6:$D$125),IF($F$1=1.3%,LOOKUP($A37,SMIC!$B$6:$B$125,SMIC!$E$6:$E$125),LOOKUP($A37,SMIC!$B$6:$B$125,SMIC!$F$6:$F$125))))</f>
        <v>9132.8662727036008</v>
      </c>
      <c r="G37" s="153">
        <f t="shared" si="1"/>
        <v>0.51977798325877156</v>
      </c>
      <c r="H37" s="357">
        <f t="shared" si="4"/>
        <v>4.091394550951688E-2</v>
      </c>
      <c r="I37" s="666">
        <v>1989</v>
      </c>
      <c r="J37" s="662"/>
      <c r="K37" s="668">
        <f t="shared" si="6"/>
        <v>0.15899999999999997</v>
      </c>
      <c r="L37" s="668">
        <v>8.199999999999999E-2</v>
      </c>
      <c r="M37" s="668">
        <v>7.6999999999999999E-2</v>
      </c>
      <c r="N37" s="668">
        <f t="shared" si="7"/>
        <v>1E-3</v>
      </c>
      <c r="O37" s="668">
        <f>IF(Simulation!$D$43="Oui",$Q37,0)</f>
        <v>0</v>
      </c>
      <c r="P37" s="668">
        <f>IF(Simulation!$D$43="Oui",$R37,0)</f>
        <v>1E-3</v>
      </c>
      <c r="Q37" s="677">
        <v>0</v>
      </c>
      <c r="R37" s="677">
        <v>1E-3</v>
      </c>
      <c r="S37" s="56">
        <f>IF($F$1=1.8%,LOOKUP($A37,Sal_valid!$B$6:$B$127,Sal_valid!$C$6:$C$127),IF($F$1=1.5%,LOOKUP($A37,Sal_valid!$B$6:$B$127,Sal_valid!$D$6:$D$127),IF($F$1=1.3%,LOOKUP($A37,Sal_valid!$B$6:$B$127,Sal_valid!$E$6:$E$127),LOOKUP($A37,Sal_valid!$B$6:$B$127,Sal_valid!$F$6:$F$127))))</f>
        <v>876.88674714958449</v>
      </c>
      <c r="T37" s="73">
        <f>Revalo_RB!$D49</f>
        <v>2.8320971004720086E-2</v>
      </c>
      <c r="U37" s="73">
        <f>Revalo_RB!$H49</f>
        <v>2.2019376288475501E-2</v>
      </c>
      <c r="V37" s="56">
        <f>IF($F$1=1.8%,LOOKUP($A37,PSS!$B$6:$B$127,PSS!$C$6:$C$127),IF($F$1=1.5%,LOOKUP($A37,PSS!$B$6:$B$127,PSS!$D$6:$D$127),IF($F$1=1.3%,LOOKUP($A37,PSS!$B$6:$B$127,PSS!$E$6:$E$127),LOOKUP($A37,PSS!$B$6:$B$127,PSS!$F$6:$F$127))))</f>
        <v>19100.316486248128</v>
      </c>
      <c r="W37" s="56">
        <f>IF($F$1=1.8%,LOOKUP($A37,Smic_AVPF!$B$6:$B$104,Smic_AVPF!$C$6:$C$104),IF($F$1=1.5%,LOOKUP($A37,Smic_AVPF!$B$6:$B$104,Smic_AVPF!$D$6:$D$104),IF($F$1=1.3%,LOOKUP($A37,Smic_AVPF!$B$6:$B$104,Smic_AVPF!$E$6:$E$104),LOOKUP($A37,Smic_AVPF!$B$6:$B$104,Smic_AVPF!$F$6:$F$104))))</f>
        <v>8891.6316160967872</v>
      </c>
      <c r="X37" s="56">
        <v>4531.2299434261695</v>
      </c>
      <c r="Y37" s="56"/>
      <c r="Z37" s="56"/>
      <c r="AA37" s="337"/>
      <c r="AB37" s="666">
        <v>1989</v>
      </c>
      <c r="AC37" s="672">
        <v>0.04</v>
      </c>
      <c r="AD37" s="673">
        <v>2.4E-2</v>
      </c>
      <c r="AE37" s="673">
        <v>1.6E-2</v>
      </c>
      <c r="AF37" s="668">
        <v>0.08</v>
      </c>
      <c r="AG37" s="668">
        <v>0.06</v>
      </c>
      <c r="AH37" s="668">
        <v>0.02</v>
      </c>
      <c r="AI37" s="337"/>
      <c r="AJ37" s="667">
        <v>1.2</v>
      </c>
      <c r="AK37" s="667">
        <v>1.1339999999999999</v>
      </c>
      <c r="AL37" s="337"/>
      <c r="AM37" s="337"/>
      <c r="AN37" s="337"/>
      <c r="AO37" s="337"/>
      <c r="AP37" s="337"/>
      <c r="AQ37" s="668">
        <f t="shared" si="8"/>
        <v>0.02</v>
      </c>
      <c r="AR37" s="668">
        <f>IF(Simulation!$D$42="Oui",Barèmes!$AT37,0)</f>
        <v>1.2E-2</v>
      </c>
      <c r="AS37" s="668">
        <f>IF(Simulation!$D$42="Oui",Barèmes!$AU37,0)</f>
        <v>8.0000000000000002E-3</v>
      </c>
      <c r="AT37" s="678">
        <v>1.2E-2</v>
      </c>
      <c r="AU37" s="678">
        <v>8.0000000000000002E-3</v>
      </c>
      <c r="AV37" s="668">
        <f t="shared" si="9"/>
        <v>2.18E-2</v>
      </c>
      <c r="AW37" s="668">
        <f>IF(Simulation!$D$42="Oui",Barèmes!$AY37,0)</f>
        <v>1.29E-2</v>
      </c>
      <c r="AX37" s="668">
        <f>IF(Simulation!$D$42="Oui",Barèmes!$AZ37,0)</f>
        <v>8.8999999999999999E-3</v>
      </c>
      <c r="AY37" s="678">
        <v>1.29E-2</v>
      </c>
      <c r="AZ37" s="678">
        <v>8.8999999999999999E-3</v>
      </c>
      <c r="BA37" s="663"/>
      <c r="BB37" s="686">
        <v>2.6541399999999999</v>
      </c>
      <c r="BC37" s="683">
        <v>7.1882913056800977</v>
      </c>
      <c r="BD37" s="664"/>
      <c r="BE37" s="687">
        <v>0.30779499999999999</v>
      </c>
      <c r="BF37" s="687">
        <v>0.82735606144914997</v>
      </c>
      <c r="BG37" s="664"/>
      <c r="BH37" s="687">
        <v>0.3097764030264179</v>
      </c>
      <c r="BI37" s="687">
        <v>0.83303338922985315</v>
      </c>
      <c r="BJ37" s="661"/>
      <c r="BK37" s="366"/>
      <c r="BL37" s="666">
        <v>1989</v>
      </c>
      <c r="BM37" s="660"/>
      <c r="BN37" s="661"/>
      <c r="BO37" s="79"/>
      <c r="BP37" s="79"/>
      <c r="BQ37" s="79"/>
      <c r="BR37" s="79"/>
      <c r="BS37" s="79"/>
      <c r="BT37" s="79"/>
      <c r="BU37" s="366"/>
      <c r="BV37" s="666">
        <v>1989</v>
      </c>
      <c r="BW37" s="660"/>
      <c r="BX37" s="661"/>
      <c r="BY37" s="79"/>
      <c r="BZ37" s="79"/>
      <c r="CA37" s="6"/>
      <c r="CB37" s="79"/>
      <c r="CC37" s="79"/>
      <c r="CD37" s="79"/>
      <c r="CE37" s="665"/>
      <c r="CG37" s="666">
        <v>1989</v>
      </c>
      <c r="CH37" s="676"/>
      <c r="CI37" s="665"/>
      <c r="CJ37" s="336"/>
      <c r="CK37" s="336"/>
      <c r="CL37" s="697">
        <v>5.9000000000000004E-2</v>
      </c>
      <c r="CM37" s="673">
        <v>2.4700000000000003E-2</v>
      </c>
      <c r="CN37" s="673">
        <v>2.9700000000000001E-2</v>
      </c>
      <c r="CO37" s="674">
        <v>2.4000000000000001E-4</v>
      </c>
    </row>
    <row r="38" spans="1:93" s="361" customFormat="1" hidden="1" x14ac:dyDescent="0.25">
      <c r="A38" s="666">
        <v>1990</v>
      </c>
      <c r="B38" s="54">
        <f>IF($F$1=1.8%,LOOKUP($A38,Prix!B$6:B$127,Prix!$G$6:$G$127),IF($F$1=1.5%,LOOKUP($A38,Prix!B$6:B$127,Prix!$H$6:$H$127),IF($F$1=1.3%,LOOKUP($A38,Prix!B$6:B$127,Prix!$I$6:$I$127),LOOKUP($A38,Prix!B$6:B$127,Prix!$J$6:$J$127))))</f>
        <v>3.3742331288343586E-2</v>
      </c>
      <c r="C38" s="7">
        <f t="shared" si="0"/>
        <v>0.62255323212069147</v>
      </c>
      <c r="D38" s="56">
        <f>IF($F$1=1.8%,LOOKUP($A38,SMPT!$B$6:$B$127,SMPT!$C$6:$C$127),IF($F$1=1.5%,LOOKUP($A38,SMPT!$B$6:$B$127,SMPT!$D$6:$D$127),IF($F$1=1.3%,LOOKUP($A38,SMPT!$B$6:$B$127,SMPT!$E$6:$E$127),LOOKUP($A38,SMPT!$B$6:$B$127,SMPT!$F$6:$F$127))))</f>
        <v>20193.37268899873</v>
      </c>
      <c r="E38" s="58">
        <f t="shared" si="3"/>
        <v>5.7745904797523728E-2</v>
      </c>
      <c r="F38" s="56">
        <f>IF($F$1=1.8%,LOOKUP($A38,SMIC!$B$6:$B$125,SMIC!$C$6:$C$125),IF($F$1=1.5%,LOOKUP($A38,SMIC!$B$6:$B$125,SMIC!$D$6:$D$125),IF($F$1=1.3%,LOOKUP($A38,SMIC!$B$6:$B$125,SMIC!$E$6:$E$125),LOOKUP($A38,SMIC!$B$6:$B$125,SMIC!$F$6:$F$125))))</f>
        <v>9524.2711971117569</v>
      </c>
      <c r="G38" s="153">
        <f t="shared" si="1"/>
        <v>0.54979303319588146</v>
      </c>
      <c r="H38" s="357">
        <f t="shared" si="4"/>
        <v>4.598913642446667E-2</v>
      </c>
      <c r="I38" s="666">
        <v>1990</v>
      </c>
      <c r="J38" s="662"/>
      <c r="K38" s="668">
        <f t="shared" si="6"/>
        <v>0.15899999999999997</v>
      </c>
      <c r="L38" s="668">
        <v>8.199999999999999E-2</v>
      </c>
      <c r="M38" s="668">
        <v>7.6999999999999999E-2</v>
      </c>
      <c r="N38" s="668">
        <f t="shared" si="7"/>
        <v>1E-3</v>
      </c>
      <c r="O38" s="668">
        <f>IF(Simulation!$D$43="Oui",$Q38,0)</f>
        <v>0</v>
      </c>
      <c r="P38" s="668">
        <f>IF(Simulation!$D$43="Oui",$R38,0)</f>
        <v>1E-3</v>
      </c>
      <c r="Q38" s="677">
        <v>0</v>
      </c>
      <c r="R38" s="677">
        <v>1E-3</v>
      </c>
      <c r="S38" s="56">
        <f>IF($F$1=1.8%,LOOKUP($A38,Sal_valid!$B$6:$B$127,Sal_valid!$C$6:$C$127),IF($F$1=1.5%,LOOKUP($A38,Sal_valid!$B$6:$B$127,Sal_valid!$D$6:$D$127),IF($F$1=1.3%,LOOKUP($A38,Sal_valid!$B$6:$B$127,Sal_valid!$E$6:$E$127),LOOKUP($A38,Sal_valid!$B$6:$B$127,Sal_valid!$F$6:$F$127))))</f>
        <v>911.95002111418887</v>
      </c>
      <c r="T38" s="73">
        <f>Revalo_RB!$D50</f>
        <v>1.5753424657534376E-2</v>
      </c>
      <c r="U38" s="73">
        <f>Revalo_RB!$H50</f>
        <v>3.0005316866593024E-2</v>
      </c>
      <c r="V38" s="56">
        <f>IF($F$1=1.8%,LOOKUP($A38,PSS!$B$6:$B$127,PSS!$C$6:$C$127),IF($F$1=1.5%,LOOKUP($A38,PSS!$B$6:$B$127,PSS!$D$6:$D$127),IF($F$1=1.3%,LOOKUP($A38,PSS!$B$6:$B$127,PSS!$E$6:$E$127),LOOKUP($A38,PSS!$B$6:$B$127,PSS!$F$6:$F$127))))</f>
        <v>19978.723546884685</v>
      </c>
      <c r="W38" s="56">
        <f>IF($F$1=1.8%,LOOKUP($A38,Smic_AVPF!$B$6:$B$104,Smic_AVPF!$C$6:$C$104),IF($F$1=1.5%,LOOKUP($A38,Smic_AVPF!$B$6:$B$104,Smic_AVPF!$D$6:$D$104),IF($F$1=1.3%,LOOKUP($A38,Smic_AVPF!$B$6:$B$104,Smic_AVPF!$E$6:$E$104),LOOKUP($A38,Smic_AVPF!$B$6:$B$104,Smic_AVPF!$F$6:$F$104))))</f>
        <v>9247.1732140978766</v>
      </c>
      <c r="X38" s="56">
        <v>4612.7916921383567</v>
      </c>
      <c r="Y38" s="56"/>
      <c r="Z38" s="56"/>
      <c r="AA38" s="337"/>
      <c r="AB38" s="666">
        <v>1990</v>
      </c>
      <c r="AC38" s="672">
        <v>0.04</v>
      </c>
      <c r="AD38" s="673">
        <v>2.4E-2</v>
      </c>
      <c r="AE38" s="673">
        <v>1.6E-2</v>
      </c>
      <c r="AF38" s="668">
        <v>0.08</v>
      </c>
      <c r="AG38" s="668">
        <v>0.06</v>
      </c>
      <c r="AH38" s="668">
        <v>0.02</v>
      </c>
      <c r="AI38" s="337"/>
      <c r="AJ38" s="667">
        <v>1.2</v>
      </c>
      <c r="AK38" s="667">
        <v>1.17</v>
      </c>
      <c r="AL38" s="337"/>
      <c r="AM38" s="337"/>
      <c r="AN38" s="337"/>
      <c r="AO38" s="337"/>
      <c r="AP38" s="337"/>
      <c r="AQ38" s="668">
        <f t="shared" si="8"/>
        <v>0.02</v>
      </c>
      <c r="AR38" s="668">
        <f>IF(Simulation!$D$42="Oui",Barèmes!$AT38,0)</f>
        <v>1.2E-2</v>
      </c>
      <c r="AS38" s="668">
        <f>IF(Simulation!$D$42="Oui",Barèmes!$AU38,0)</f>
        <v>8.0000000000000002E-3</v>
      </c>
      <c r="AT38" s="678">
        <v>1.2E-2</v>
      </c>
      <c r="AU38" s="678">
        <v>8.0000000000000002E-3</v>
      </c>
      <c r="AV38" s="668">
        <f t="shared" si="9"/>
        <v>2.18E-2</v>
      </c>
      <c r="AW38" s="668">
        <f>IF(Simulation!$D$42="Oui",Barèmes!$AY38,0)</f>
        <v>1.29E-2</v>
      </c>
      <c r="AX38" s="668">
        <f>IF(Simulation!$D$42="Oui",Barèmes!$AZ38,0)</f>
        <v>8.8999999999999999E-3</v>
      </c>
      <c r="AY38" s="678">
        <v>1.29E-2</v>
      </c>
      <c r="AZ38" s="678">
        <v>8.8999999999999999E-3</v>
      </c>
      <c r="BA38" s="663"/>
      <c r="BB38" s="686">
        <v>2.7761</v>
      </c>
      <c r="BC38" s="683">
        <v>7.5455555775759695</v>
      </c>
      <c r="BD38" s="664"/>
      <c r="BE38" s="687">
        <v>0.31907600000000003</v>
      </c>
      <c r="BF38" s="687">
        <v>0.86138268209653979</v>
      </c>
      <c r="BG38" s="664"/>
      <c r="BH38" s="687">
        <v>0.31907579307789991</v>
      </c>
      <c r="BI38" s="687">
        <v>0.86727106152720002</v>
      </c>
      <c r="BJ38" s="661"/>
      <c r="BK38" s="366"/>
      <c r="BL38" s="666">
        <v>1990</v>
      </c>
      <c r="BM38" s="660"/>
      <c r="BN38" s="661"/>
      <c r="BO38" s="79"/>
      <c r="BP38" s="79"/>
      <c r="BQ38" s="79"/>
      <c r="BR38" s="79"/>
      <c r="BS38" s="79"/>
      <c r="BT38" s="79"/>
      <c r="BU38" s="366"/>
      <c r="BV38" s="666">
        <v>1990</v>
      </c>
      <c r="BW38" s="660"/>
      <c r="BX38" s="661"/>
      <c r="BY38" s="79"/>
      <c r="BZ38" s="79"/>
      <c r="CA38" s="6"/>
      <c r="CB38" s="79"/>
      <c r="CC38" s="79"/>
      <c r="CD38" s="79"/>
      <c r="CE38" s="665"/>
      <c r="CG38" s="666">
        <v>1990</v>
      </c>
      <c r="CH38" s="676"/>
      <c r="CI38" s="665"/>
      <c r="CJ38" s="336"/>
      <c r="CK38" s="336"/>
      <c r="CL38" s="697">
        <v>5.9000000000000004E-2</v>
      </c>
      <c r="CM38" s="673">
        <v>2.4300000000000002E-2</v>
      </c>
      <c r="CN38" s="673">
        <v>2.9700000000000001E-2</v>
      </c>
      <c r="CO38" s="674">
        <v>2.4000000000000001E-4</v>
      </c>
    </row>
    <row r="39" spans="1:93" s="361" customFormat="1" hidden="1" x14ac:dyDescent="0.25">
      <c r="A39" s="666">
        <v>1991</v>
      </c>
      <c r="B39" s="54">
        <f>IF($F$1=1.8%,LOOKUP($A39,Prix!B$6:B$127,Prix!$G$6:$G$127),IF($F$1=1.5%,LOOKUP($A39,Prix!B$6:B$127,Prix!$H$6:$H$127),IF($F$1=1.3%,LOOKUP($A39,Prix!B$6:B$127,Prix!$I$6:$I$127),LOOKUP($A39,Prix!B$6:B$127,Prix!$J$6:$J$127))))</f>
        <v>3.2640949554896048E-2</v>
      </c>
      <c r="C39" s="7">
        <f t="shared" si="0"/>
        <v>0.64355962952353685</v>
      </c>
      <c r="D39" s="56">
        <f>IF($F$1=1.8%,LOOKUP($A39,SMPT!$B$6:$B$127,SMPT!$C$6:$C$127),IF($F$1=1.5%,LOOKUP($A39,SMPT!$B$6:$B$127,SMPT!$D$6:$D$127),IF($F$1=1.3%,LOOKUP($A39,SMPT!$B$6:$B$127,SMPT!$E$6:$E$127),LOOKUP($A39,SMPT!$B$6:$B$127,SMPT!$F$6:$F$127))))</f>
        <v>20927.906776028594</v>
      </c>
      <c r="E39" s="58">
        <f t="shared" si="3"/>
        <v>3.6375007698938644E-2</v>
      </c>
      <c r="F39" s="56">
        <f>IF($F$1=1.8%,LOOKUP($A39,SMIC!$B$6:$B$125,SMIC!$C$6:$C$125),IF($F$1=1.5%,LOOKUP($A39,SMIC!$B$6:$B$125,SMIC!$D$6:$D$125),IF($F$1=1.3%,LOOKUP($A39,SMIC!$B$6:$B$125,SMIC!$E$6:$E$125),LOOKUP($A39,SMIC!$B$6:$B$125,SMIC!$F$6:$F$125))))</f>
        <v>9986.9961990700976</v>
      </c>
      <c r="G39" s="153">
        <f t="shared" si="1"/>
        <v>0.56979175901120438</v>
      </c>
      <c r="H39" s="357">
        <f t="shared" si="4"/>
        <v>5.1292471952957275E-2</v>
      </c>
      <c r="I39" s="666">
        <v>1991</v>
      </c>
      <c r="J39" s="662"/>
      <c r="K39" s="668">
        <f t="shared" si="6"/>
        <v>0.16449999999999998</v>
      </c>
      <c r="L39" s="668">
        <v>9.799999999999999E-2</v>
      </c>
      <c r="M39" s="668">
        <v>6.6500000000000004E-2</v>
      </c>
      <c r="N39" s="668">
        <f t="shared" si="7"/>
        <v>1.7000000000000001E-2</v>
      </c>
      <c r="O39" s="668">
        <f>IF(Simulation!$D$43="Oui",$Q39,0)</f>
        <v>1.6E-2</v>
      </c>
      <c r="P39" s="668">
        <f>IF(Simulation!$D$43="Oui",$R39,0)</f>
        <v>1E-3</v>
      </c>
      <c r="Q39" s="677">
        <v>1.6E-2</v>
      </c>
      <c r="R39" s="677">
        <v>1E-3</v>
      </c>
      <c r="S39" s="56">
        <f>IF($F$1=1.8%,LOOKUP($A39,Sal_valid!$B$6:$B$127,Sal_valid!$C$6:$C$127),IF($F$1=1.5%,LOOKUP($A39,Sal_valid!$B$6:$B$127,Sal_valid!$D$6:$D$127),IF($F$1=1.3%,LOOKUP($A39,Sal_valid!$B$6:$B$127,Sal_valid!$E$6:$E$127),LOOKUP($A39,Sal_valid!$B$6:$B$127,Sal_valid!$F$6:$F$127))))</f>
        <v>973.84432211257752</v>
      </c>
      <c r="T39" s="73">
        <f>Revalo_RB!$D51</f>
        <v>3.3262561924982226E-2</v>
      </c>
      <c r="U39" s="73">
        <f>Revalo_RB!$H51</f>
        <v>1.5012757787684183E-2</v>
      </c>
      <c r="V39" s="56">
        <f>IF($F$1=1.8%,LOOKUP($A39,PSS!$B$6:$B$127,PSS!$C$6:$C$127),IF($F$1=1.5%,LOOKUP($A39,PSS!$B$6:$B$127,PSS!$D$6:$D$127),IF($F$1=1.3%,LOOKUP($A39,PSS!$B$6:$B$127,PSS!$E$6:$E$127),LOOKUP($A39,PSS!$B$6:$B$127,PSS!$F$6:$F$127))))</f>
        <v>21003.481664069153</v>
      </c>
      <c r="W39" s="56">
        <f>IF($F$1=1.8%,LOOKUP($A39,Smic_AVPF!$B$6:$B$104,Smic_AVPF!$C$6:$C$104),IF($F$1=1.5%,LOOKUP($A39,Smic_AVPF!$B$6:$B$104,Smic_AVPF!$D$6:$D$104),IF($F$1=1.3%,LOOKUP($A39,Smic_AVPF!$B$6:$B$104,Smic_AVPF!$E$6:$E$104),LOOKUP($A39,Smic_AVPF!$B$6:$B$104,Smic_AVPF!$F$6:$F$104))))</f>
        <v>9670.7314656296057</v>
      </c>
      <c r="X39" s="56">
        <v>4658.9181912838803</v>
      </c>
      <c r="Y39" s="56"/>
      <c r="Z39" s="56"/>
      <c r="AA39" s="337"/>
      <c r="AB39" s="666">
        <v>1991</v>
      </c>
      <c r="AC39" s="672">
        <v>0.04</v>
      </c>
      <c r="AD39" s="673">
        <v>2.4E-2</v>
      </c>
      <c r="AE39" s="673">
        <v>1.6E-2</v>
      </c>
      <c r="AF39" s="668">
        <v>0.08</v>
      </c>
      <c r="AG39" s="668">
        <v>0.06</v>
      </c>
      <c r="AH39" s="668">
        <v>0.02</v>
      </c>
      <c r="AI39" s="337"/>
      <c r="AJ39" s="667">
        <v>1.23</v>
      </c>
      <c r="AK39" s="667">
        <v>1.17</v>
      </c>
      <c r="AL39" s="337"/>
      <c r="AM39" s="337"/>
      <c r="AN39" s="337"/>
      <c r="AO39" s="337"/>
      <c r="AP39" s="337"/>
      <c r="AQ39" s="668">
        <f t="shared" si="8"/>
        <v>1.8000000000000002E-2</v>
      </c>
      <c r="AR39" s="668">
        <f>IF(Simulation!$D$42="Oui",Barèmes!$AT39,0)</f>
        <v>1.0800000000000001E-2</v>
      </c>
      <c r="AS39" s="668">
        <f>IF(Simulation!$D$42="Oui",Barèmes!$AU39,0)</f>
        <v>7.1999999999999998E-3</v>
      </c>
      <c r="AT39" s="678">
        <v>1.0800000000000001E-2</v>
      </c>
      <c r="AU39" s="678">
        <v>7.1999999999999998E-3</v>
      </c>
      <c r="AV39" s="668">
        <f t="shared" si="9"/>
        <v>2.18E-2</v>
      </c>
      <c r="AW39" s="668">
        <f>IF(Simulation!$D$42="Oui",Barèmes!$AY39,0)</f>
        <v>1.29E-2</v>
      </c>
      <c r="AX39" s="668">
        <f>IF(Simulation!$D$42="Oui",Barèmes!$AZ39,0)</f>
        <v>8.8999999999999999E-3</v>
      </c>
      <c r="AY39" s="678">
        <v>1.29E-2</v>
      </c>
      <c r="AZ39" s="678">
        <v>8.8999999999999999E-3</v>
      </c>
      <c r="BA39" s="663"/>
      <c r="BB39" s="686">
        <v>2.8660399999999999</v>
      </c>
      <c r="BC39" s="683">
        <v>7.8896330094808045</v>
      </c>
      <c r="BD39" s="664"/>
      <c r="BE39" s="687">
        <v>0.33218599999999998</v>
      </c>
      <c r="BF39" s="687">
        <v>0.89342746551984353</v>
      </c>
      <c r="BG39" s="664"/>
      <c r="BH39" s="687">
        <v>0.33218640856031717</v>
      </c>
      <c r="BI39" s="687">
        <v>0.89953354501601179</v>
      </c>
      <c r="BJ39" s="661"/>
      <c r="BK39" s="366"/>
      <c r="BL39" s="666">
        <v>1991</v>
      </c>
      <c r="BM39" s="13">
        <v>61</v>
      </c>
      <c r="BN39" s="661"/>
      <c r="BO39" s="79"/>
      <c r="BP39" s="79"/>
      <c r="BQ39" s="146">
        <v>0</v>
      </c>
      <c r="BR39" s="681"/>
      <c r="BS39" s="681"/>
      <c r="BT39" s="668">
        <v>1.0083333333333333E-2</v>
      </c>
      <c r="BU39" s="366"/>
      <c r="BV39" s="666">
        <v>1991</v>
      </c>
      <c r="BW39" s="660"/>
      <c r="BX39" s="661"/>
      <c r="BY39" s="79"/>
      <c r="BZ39" s="79"/>
      <c r="CA39" s="6">
        <f t="shared" ref="CA39:CA66" si="10">BQ39</f>
        <v>0</v>
      </c>
      <c r="CB39" s="6"/>
      <c r="CC39" s="6"/>
      <c r="CD39" s="6">
        <f t="shared" ref="CD39:CD66" si="11">BT39</f>
        <v>1.0083333333333333E-2</v>
      </c>
      <c r="CE39" s="690">
        <v>1.0083333333333333E-2</v>
      </c>
      <c r="CG39" s="666">
        <v>1991</v>
      </c>
      <c r="CH39" s="691">
        <v>1.0083333333333333E-2</v>
      </c>
      <c r="CI39" s="665"/>
      <c r="CJ39" s="336"/>
      <c r="CK39" s="699">
        <v>0.95</v>
      </c>
      <c r="CL39" s="697">
        <v>6.3500000000000001E-2</v>
      </c>
      <c r="CM39" s="673">
        <v>2.2499999999999999E-2</v>
      </c>
      <c r="CN39" s="673">
        <v>2.9100000000000001E-2</v>
      </c>
      <c r="CO39" s="674">
        <v>2.4000000000000001E-4</v>
      </c>
    </row>
    <row r="40" spans="1:93" s="361" customFormat="1" hidden="1" x14ac:dyDescent="0.25">
      <c r="A40" s="666">
        <v>1992</v>
      </c>
      <c r="B40" s="54">
        <f>IF($F$1=1.8%,LOOKUP($A40,Prix!B$6:B$127,Prix!$G$6:$G$127),IF($F$1=1.5%,LOOKUP($A40,Prix!B$6:B$127,Prix!$H$6:$H$127),IF($F$1=1.3%,LOOKUP($A40,Prix!B$6:B$127,Prix!$I$6:$I$127),LOOKUP($A40,Prix!B$6:B$127,Prix!$J$6:$J$127))))</f>
        <v>2.2988505747126631E-2</v>
      </c>
      <c r="C40" s="7">
        <f t="shared" si="0"/>
        <v>0.66456602692638223</v>
      </c>
      <c r="D40" s="56">
        <f>IF($F$1=1.8%,LOOKUP($A40,SMPT!$B$6:$B$127,SMPT!$C$6:$C$127),IF($F$1=1.5%,LOOKUP($A40,SMPT!$B$6:$B$127,SMPT!$D$6:$D$127),IF($F$1=1.3%,LOOKUP($A40,SMPT!$B$6:$B$127,SMPT!$E$6:$E$127),LOOKUP($A40,SMPT!$B$6:$B$127,SMPT!$F$6:$F$127))))</f>
        <v>21696.524487642419</v>
      </c>
      <c r="E40" s="58">
        <f t="shared" si="3"/>
        <v>3.6726927343456062E-2</v>
      </c>
      <c r="F40" s="56">
        <f>IF($F$1=1.8%,LOOKUP($A40,SMIC!$B$6:$B$125,SMIC!$C$6:$C$125),IF($F$1=1.5%,LOOKUP($A40,SMIC!$B$6:$B$125,SMIC!$D$6:$D$125),IF($F$1=1.3%,LOOKUP($A40,SMIC!$B$6:$B$125,SMIC!$E$6:$E$125),LOOKUP($A40,SMIC!$B$6:$B$125,SMIC!$F$6:$F$125))))</f>
        <v>10381.966710782748</v>
      </c>
      <c r="G40" s="153">
        <f t="shared" si="1"/>
        <v>0.59071845954530899</v>
      </c>
      <c r="H40" s="357">
        <f t="shared" si="4"/>
        <v>4.6129029826774248E-2</v>
      </c>
      <c r="I40" s="666">
        <v>1992</v>
      </c>
      <c r="J40" s="662"/>
      <c r="K40" s="668">
        <f t="shared" si="6"/>
        <v>0.16449999999999998</v>
      </c>
      <c r="L40" s="668">
        <v>9.799999999999999E-2</v>
      </c>
      <c r="M40" s="668">
        <v>6.6500000000000004E-2</v>
      </c>
      <c r="N40" s="668">
        <f t="shared" si="7"/>
        <v>1.7000000000000001E-2</v>
      </c>
      <c r="O40" s="668">
        <f>IF(Simulation!$D$43="Oui",$Q40,0)</f>
        <v>1.6E-2</v>
      </c>
      <c r="P40" s="668">
        <f>IF(Simulation!$D$43="Oui",$R40,0)</f>
        <v>1E-3</v>
      </c>
      <c r="Q40" s="677">
        <v>1.6E-2</v>
      </c>
      <c r="R40" s="677">
        <v>1E-3</v>
      </c>
      <c r="S40" s="56">
        <f>IF($F$1=1.8%,LOOKUP($A40,Sal_valid!$B$6:$B$127,Sal_valid!$C$6:$C$127),IF($F$1=1.5%,LOOKUP($A40,Sal_valid!$B$6:$B$127,Sal_valid!$D$6:$D$127),IF($F$1=1.3%,LOOKUP($A40,Sal_valid!$B$6:$B$127,Sal_valid!$E$6:$E$127),LOOKUP($A40,Sal_valid!$B$6:$B$127,Sal_valid!$F$6:$F$127))))</f>
        <v>995.79698059476459</v>
      </c>
      <c r="T40" s="73">
        <f>Revalo_RB!$D52</f>
        <v>0</v>
      </c>
      <c r="U40" s="73">
        <f>Revalo_RB!$H52</f>
        <v>2.6592493787946925E-2</v>
      </c>
      <c r="V40" s="56">
        <f>IF($F$1=1.8%,LOOKUP($A40,PSS!$B$6:$B$127,PSS!$C$6:$C$127),IF($F$1=1.5%,LOOKUP($A40,PSS!$B$6:$B$127,PSS!$D$6:$D$127),IF($F$1=1.3%,LOOKUP($A40,PSS!$B$6:$B$127,PSS!$E$6:$E$127),LOOKUP($A40,PSS!$B$6:$B$127,PSS!$F$6:$F$127))))</f>
        <v>21972.351896217107</v>
      </c>
      <c r="W40" s="56">
        <f>IF($F$1=1.8%,LOOKUP($A40,Smic_AVPF!$B$6:$B$104,Smic_AVPF!$C$6:$C$104),IF($F$1=1.5%,LOOKUP($A40,Smic_AVPF!$B$6:$B$104,Smic_AVPF!$D$6:$D$104),IF($F$1=1.3%,LOOKUP($A40,Smic_AVPF!$B$6:$B$104,Smic_AVPF!$E$6:$E$104),LOOKUP($A40,Smic_AVPF!$B$6:$B$104,Smic_AVPF!$F$6:$F$104))))</f>
        <v>10097.381383230913</v>
      </c>
      <c r="X40" s="56">
        <v>4780.0496069102091</v>
      </c>
      <c r="Y40" s="56"/>
      <c r="Z40" s="56"/>
      <c r="AA40" s="337"/>
      <c r="AB40" s="666">
        <v>1992</v>
      </c>
      <c r="AC40" s="672">
        <v>0.04</v>
      </c>
      <c r="AD40" s="673">
        <v>2.4E-2</v>
      </c>
      <c r="AE40" s="673">
        <v>1.6E-2</v>
      </c>
      <c r="AF40" s="668">
        <v>0.08</v>
      </c>
      <c r="AG40" s="668">
        <v>0.06</v>
      </c>
      <c r="AH40" s="668">
        <v>0.02</v>
      </c>
      <c r="AI40" s="337"/>
      <c r="AJ40" s="667">
        <v>1.25</v>
      </c>
      <c r="AK40" s="667">
        <v>1.17</v>
      </c>
      <c r="AL40" s="337"/>
      <c r="AM40" s="337"/>
      <c r="AN40" s="337"/>
      <c r="AO40" s="337"/>
      <c r="AP40" s="337"/>
      <c r="AQ40" s="668">
        <f t="shared" si="8"/>
        <v>1.8000000000000002E-2</v>
      </c>
      <c r="AR40" s="668">
        <f>IF(Simulation!$D$42="Oui",Barèmes!$AT40,0)</f>
        <v>1.0800000000000001E-2</v>
      </c>
      <c r="AS40" s="668">
        <f>IF(Simulation!$D$42="Oui",Barèmes!$AU40,0)</f>
        <v>7.1999999999999998E-3</v>
      </c>
      <c r="AT40" s="678">
        <v>1.0800000000000001E-2</v>
      </c>
      <c r="AU40" s="678">
        <v>7.1999999999999998E-3</v>
      </c>
      <c r="AV40" s="668">
        <f t="shared" si="9"/>
        <v>2.18E-2</v>
      </c>
      <c r="AW40" s="668">
        <f>IF(Simulation!$D$42="Oui",Barèmes!$AY40,0)</f>
        <v>1.29E-2</v>
      </c>
      <c r="AX40" s="668">
        <f>IF(Simulation!$D$42="Oui",Barèmes!$AZ40,0)</f>
        <v>8.8999999999999999E-3</v>
      </c>
      <c r="AY40" s="678">
        <v>1.29E-2</v>
      </c>
      <c r="AZ40" s="678">
        <v>8.8999999999999999E-3</v>
      </c>
      <c r="BA40" s="663"/>
      <c r="BB40" s="686">
        <v>2.9315899999999999</v>
      </c>
      <c r="BC40" s="683">
        <v>8.2060104549536028</v>
      </c>
      <c r="BD40" s="664"/>
      <c r="BE40" s="687">
        <v>0.34179100000000001</v>
      </c>
      <c r="BF40" s="687">
        <v>0.92463377934834146</v>
      </c>
      <c r="BG40" s="664"/>
      <c r="BH40" s="687">
        <v>0.34179069664627409</v>
      </c>
      <c r="BI40" s="687">
        <v>0.93092726573707052</v>
      </c>
      <c r="BJ40" s="661"/>
      <c r="BK40" s="366"/>
      <c r="BL40" s="666">
        <v>1992</v>
      </c>
      <c r="BM40" s="13">
        <v>61</v>
      </c>
      <c r="BN40" s="661"/>
      <c r="BO40" s="79"/>
      <c r="BP40" s="79"/>
      <c r="BQ40" s="146">
        <v>0</v>
      </c>
      <c r="BR40" s="681"/>
      <c r="BS40" s="681"/>
      <c r="BT40" s="668">
        <v>1.0999999999999999E-2</v>
      </c>
      <c r="BU40" s="366"/>
      <c r="BV40" s="666">
        <v>1992</v>
      </c>
      <c r="BW40" s="660"/>
      <c r="BX40" s="661"/>
      <c r="BY40" s="79"/>
      <c r="BZ40" s="79"/>
      <c r="CA40" s="6">
        <f t="shared" si="10"/>
        <v>0</v>
      </c>
      <c r="CB40" s="6"/>
      <c r="CC40" s="6"/>
      <c r="CD40" s="6">
        <f t="shared" si="11"/>
        <v>1.0999999999999999E-2</v>
      </c>
      <c r="CE40" s="690">
        <v>1.0999999999999999E-2</v>
      </c>
      <c r="CG40" s="666">
        <v>1992</v>
      </c>
      <c r="CH40" s="691">
        <v>1.0999999999999999E-2</v>
      </c>
      <c r="CI40" s="665"/>
      <c r="CJ40" s="336"/>
      <c r="CK40" s="699">
        <v>0.95</v>
      </c>
      <c r="CL40" s="697">
        <v>6.8000000000000005E-2</v>
      </c>
      <c r="CM40" s="673">
        <v>2.5600000000000001E-2</v>
      </c>
      <c r="CN40" s="673">
        <v>3.1400000000000004E-2</v>
      </c>
      <c r="CO40" s="674">
        <v>2.4000000000000001E-4</v>
      </c>
    </row>
    <row r="41" spans="1:93" s="361" customFormat="1" hidden="1" x14ac:dyDescent="0.25">
      <c r="A41" s="666">
        <v>1993</v>
      </c>
      <c r="B41" s="54">
        <f>IF($F$1=1.8%,LOOKUP($A41,Prix!B$6:B$127,Prix!$G$6:$G$127),IF($F$1=1.5%,LOOKUP($A41,Prix!B$6:B$127,Prix!$H$6:$H$127),IF($F$1=1.3%,LOOKUP($A41,Prix!B$6:B$127,Prix!$I$6:$I$127),LOOKUP($A41,Prix!B$6:B$127,Prix!$J$6:$J$127))))</f>
        <v>2.1067415730336991E-2</v>
      </c>
      <c r="C41" s="7">
        <f t="shared" si="0"/>
        <v>0.67984340685572442</v>
      </c>
      <c r="D41" s="56">
        <f>IF($F$1=1.8%,LOOKUP($A41,SMPT!$B$6:$B$127,SMPT!$C$6:$C$127),IF($F$1=1.5%,LOOKUP($A41,SMPT!$B$6:$B$127,SMPT!$D$6:$D$127),IF($F$1=1.3%,LOOKUP($A41,SMPT!$B$6:$B$127,SMPT!$E$6:$E$127),LOOKUP($A41,SMPT!$B$6:$B$127,SMPT!$F$6:$F$127))))</f>
        <v>22072.243705362467</v>
      </c>
      <c r="E41" s="58">
        <f t="shared" si="3"/>
        <v>1.7317023191158798E-2</v>
      </c>
      <c r="F41" s="56">
        <f>IF($F$1=1.8%,LOOKUP($A41,SMIC!$B$6:$B$125,SMIC!$C$6:$C$125),IF($F$1=1.5%,LOOKUP($A41,SMIC!$B$6:$B$125,SMIC!$D$6:$D$125),IF($F$1=1.3%,LOOKUP($A41,SMIC!$B$6:$B$125,SMIC!$E$6:$E$125),LOOKUP($A41,SMIC!$B$6:$B$125,SMIC!$F$6:$F$125))))</f>
        <v>10650.222098378861</v>
      </c>
      <c r="G41" s="153">
        <f t="shared" si="1"/>
        <v>0.60094794480870062</v>
      </c>
      <c r="H41" s="357">
        <f t="shared" si="4"/>
        <v>3.9569700086275139E-2</v>
      </c>
      <c r="I41" s="666">
        <v>1993</v>
      </c>
      <c r="J41" s="662"/>
      <c r="K41" s="668">
        <f t="shared" si="6"/>
        <v>0.16449999999999998</v>
      </c>
      <c r="L41" s="668">
        <v>9.799999999999999E-2</v>
      </c>
      <c r="M41" s="668">
        <v>6.6500000000000004E-2</v>
      </c>
      <c r="N41" s="668">
        <f t="shared" si="7"/>
        <v>1.7000000000000001E-2</v>
      </c>
      <c r="O41" s="668">
        <f>IF(Simulation!$D$43="Oui",$Q41,0)</f>
        <v>1.6E-2</v>
      </c>
      <c r="P41" s="668">
        <f>IF(Simulation!$D$43="Oui",$R41,0)</f>
        <v>1E-3</v>
      </c>
      <c r="Q41" s="677">
        <v>1.6E-2</v>
      </c>
      <c r="R41" s="677">
        <v>1E-3</v>
      </c>
      <c r="S41" s="56">
        <f>IF($F$1=1.8%,LOOKUP($A41,Sal_valid!$B$6:$B$127,Sal_valid!$C$6:$C$127),IF($F$1=1.5%,LOOKUP($A41,Sal_valid!$B$6:$B$127,Sal_valid!$D$6:$D$127),IF($F$1=1.3%,LOOKUP($A41,Sal_valid!$B$6:$B$127,Sal_valid!$E$6:$E$127),LOOKUP($A41,Sal_valid!$B$6:$B$127,Sal_valid!$F$6:$F$127))))</f>
        <v>1038.4827054212394</v>
      </c>
      <c r="T41" s="73">
        <f>Revalo_RB!$D53</f>
        <v>1.8011527377521652E-2</v>
      </c>
      <c r="U41" s="73">
        <f>Revalo_RB!$H53</f>
        <v>1.7256064174655306E-2</v>
      </c>
      <c r="V41" s="56">
        <f>IF($F$1=1.8%,LOOKUP($A41,PSS!$B$6:$B$127,PSS!$C$6:$C$127),IF($F$1=1.5%,LOOKUP($A41,PSS!$B$6:$B$127,PSS!$D$6:$D$127),IF($F$1=1.3%,LOOKUP($A41,PSS!$B$6:$B$127,PSS!$E$6:$E$127),LOOKUP($A41,PSS!$B$6:$B$127,PSS!$F$6:$F$127))))</f>
        <v>22841.791270940517</v>
      </c>
      <c r="W41" s="56">
        <f>IF($F$1=1.8%,LOOKUP($A41,Smic_AVPF!$B$6:$B$104,Smic_AVPF!$C$6:$C$104),IF($F$1=1.5%,LOOKUP($A41,Smic_AVPF!$B$6:$B$104,Smic_AVPF!$D$6:$D$104),IF($F$1=1.3%,LOOKUP($A41,Smic_AVPF!$B$6:$B$104,Smic_AVPF!$E$6:$E$104),LOOKUP($A41,Smic_AVPF!$B$6:$B$104,Smic_AVPF!$F$6:$F$104))))</f>
        <v>10530.214632971371</v>
      </c>
      <c r="X41" s="56">
        <v>4842.1893508263502</v>
      </c>
      <c r="Y41" s="56"/>
      <c r="Z41" s="56"/>
      <c r="AA41" s="337"/>
      <c r="AB41" s="666">
        <v>1993</v>
      </c>
      <c r="AC41" s="672">
        <v>0.04</v>
      </c>
      <c r="AD41" s="673">
        <v>2.4E-2</v>
      </c>
      <c r="AE41" s="673">
        <v>1.6E-2</v>
      </c>
      <c r="AF41" s="668">
        <v>0.08</v>
      </c>
      <c r="AG41" s="668">
        <v>0.06</v>
      </c>
      <c r="AH41" s="668">
        <v>0.02</v>
      </c>
      <c r="AI41" s="337"/>
      <c r="AJ41" s="667">
        <v>1.25</v>
      </c>
      <c r="AK41" s="667">
        <v>1.17</v>
      </c>
      <c r="AL41" s="337"/>
      <c r="AM41" s="337"/>
      <c r="AN41" s="337"/>
      <c r="AO41" s="337"/>
      <c r="AP41" s="337"/>
      <c r="AQ41" s="668">
        <f t="shared" si="8"/>
        <v>1.8000000000000002E-2</v>
      </c>
      <c r="AR41" s="668">
        <f>IF(Simulation!$D$42="Oui",Barèmes!$AT41,0)</f>
        <v>1.0800000000000001E-2</v>
      </c>
      <c r="AS41" s="668">
        <f>IF(Simulation!$D$42="Oui",Barèmes!$AU41,0)</f>
        <v>7.1999999999999998E-3</v>
      </c>
      <c r="AT41" s="678">
        <v>1.0800000000000001E-2</v>
      </c>
      <c r="AU41" s="678">
        <v>7.1999999999999998E-3</v>
      </c>
      <c r="AV41" s="668">
        <f t="shared" si="9"/>
        <v>2.18E-2</v>
      </c>
      <c r="AW41" s="668">
        <f>IF(Simulation!$D$42="Oui",Barèmes!$AY41,0)</f>
        <v>1.29E-2</v>
      </c>
      <c r="AX41" s="668">
        <f>IF(Simulation!$D$42="Oui",Barèmes!$AZ41,0)</f>
        <v>8.8999999999999999E-3</v>
      </c>
      <c r="AY41" s="678">
        <v>1.29E-2</v>
      </c>
      <c r="AZ41" s="678">
        <v>8.8999999999999999E-3</v>
      </c>
      <c r="BA41" s="663"/>
      <c r="BB41" s="686">
        <v>2.9392200000000002</v>
      </c>
      <c r="BC41" s="683">
        <v>8.5137287962473156</v>
      </c>
      <c r="BD41" s="664"/>
      <c r="BE41" s="687">
        <v>0.35109000000000001</v>
      </c>
      <c r="BF41" s="687">
        <v>0.94436068217886238</v>
      </c>
      <c r="BG41" s="664"/>
      <c r="BH41" s="687">
        <v>0.3510900866977561</v>
      </c>
      <c r="BI41" s="687">
        <v>0.95084910922384391</v>
      </c>
      <c r="BJ41" s="661"/>
      <c r="BK41" s="366"/>
      <c r="BL41" s="666">
        <v>1993</v>
      </c>
      <c r="BM41" s="13">
        <v>61</v>
      </c>
      <c r="BN41" s="661"/>
      <c r="BO41" s="79"/>
      <c r="BP41" s="79"/>
      <c r="BQ41" s="146">
        <v>0</v>
      </c>
      <c r="BR41" s="668"/>
      <c r="BS41" s="668"/>
      <c r="BT41" s="668">
        <v>1.7500000000000002E-2</v>
      </c>
      <c r="BU41" s="366"/>
      <c r="BV41" s="666">
        <v>1993</v>
      </c>
      <c r="BW41" s="660"/>
      <c r="BX41" s="661"/>
      <c r="BY41" s="79"/>
      <c r="BZ41" s="79"/>
      <c r="CA41" s="6">
        <f t="shared" si="10"/>
        <v>0</v>
      </c>
      <c r="CB41" s="6"/>
      <c r="CC41" s="6"/>
      <c r="CD41" s="6">
        <f t="shared" si="11"/>
        <v>1.7500000000000002E-2</v>
      </c>
      <c r="CE41" s="690">
        <v>1.7500000000000002E-2</v>
      </c>
      <c r="CG41" s="666">
        <v>1993</v>
      </c>
      <c r="CH41" s="691">
        <v>1.7500000000000002E-2</v>
      </c>
      <c r="CI41" s="665"/>
      <c r="CJ41" s="336"/>
      <c r="CK41" s="699">
        <v>0.95</v>
      </c>
      <c r="CL41" s="697">
        <v>6.8000000000000005E-2</v>
      </c>
      <c r="CM41" s="673">
        <v>2.9399999999999999E-2</v>
      </c>
      <c r="CN41" s="673">
        <v>3.5400000000000001E-2</v>
      </c>
      <c r="CO41" s="674">
        <v>2.4000000000000001E-4</v>
      </c>
    </row>
    <row r="42" spans="1:93" s="361" customFormat="1" hidden="1" x14ac:dyDescent="0.25">
      <c r="A42" s="666">
        <v>1994</v>
      </c>
      <c r="B42" s="54">
        <f>IF($F$1=1.8%,LOOKUP($A42,Prix!B$6:B$127,Prix!$G$6:$G$127),IF($F$1=1.5%,LOOKUP($A42,Prix!B$6:B$127,Prix!$H$6:$H$127),IF($F$1=1.3%,LOOKUP($A42,Prix!B$6:B$127,Prix!$I$6:$I$127),LOOKUP($A42,Prix!B$6:B$127,Prix!$J$6:$J$127))))</f>
        <v>1.6506189821183126E-2</v>
      </c>
      <c r="C42" s="7">
        <f t="shared" si="0"/>
        <v>0.6941659505394826</v>
      </c>
      <c r="D42" s="56">
        <f>IF($F$1=1.8%,LOOKUP($A42,SMPT!$B$6:$B$127,SMPT!$C$6:$C$127),IF($F$1=1.5%,LOOKUP($A42,SMPT!$B$6:$B$127,SMPT!$D$6:$D$127),IF($F$1=1.3%,LOOKUP($A42,SMPT!$B$6:$B$127,SMPT!$E$6:$E$127),LOOKUP($A42,SMPT!$B$6:$B$127,SMPT!$F$6:$F$127))))</f>
        <v>22448.468970934897</v>
      </c>
      <c r="E42" s="58">
        <f t="shared" si="3"/>
        <v>1.7045175406477764E-2</v>
      </c>
      <c r="F42" s="56">
        <f>IF($F$1=1.8%,LOOKUP($A42,SMIC!$B$6:$B$125,SMIC!$C$6:$C$125),IF($F$1=1.5%,LOOKUP($A42,SMIC!$B$6:$B$125,SMIC!$D$6:$D$125),IF($F$1=1.3%,LOOKUP($A42,SMIC!$B$6:$B$125,SMIC!$E$6:$E$125),LOOKUP($A42,SMIC!$B$6:$B$125,SMIC!$F$6:$F$125))))</f>
        <v>10882.046231688968</v>
      </c>
      <c r="G42" s="153">
        <f t="shared" si="1"/>
        <v>0.61119120793812731</v>
      </c>
      <c r="H42" s="357">
        <f t="shared" si="4"/>
        <v>2.199499714749642E-2</v>
      </c>
      <c r="I42" s="666">
        <v>1994</v>
      </c>
      <c r="J42" s="662"/>
      <c r="K42" s="668">
        <f t="shared" si="6"/>
        <v>0.16449999999999998</v>
      </c>
      <c r="L42" s="668">
        <v>9.799999999999999E-2</v>
      </c>
      <c r="M42" s="668">
        <v>6.6500000000000004E-2</v>
      </c>
      <c r="N42" s="668">
        <f t="shared" si="7"/>
        <v>1.7000000000000001E-2</v>
      </c>
      <c r="O42" s="668">
        <f>IF(Simulation!$D$43="Oui",$Q42,0)</f>
        <v>1.6E-2</v>
      </c>
      <c r="P42" s="668">
        <f>IF(Simulation!$D$43="Oui",$R42,0)</f>
        <v>1E-3</v>
      </c>
      <c r="Q42" s="677">
        <v>1.6E-2</v>
      </c>
      <c r="R42" s="677">
        <v>1E-3</v>
      </c>
      <c r="S42" s="56">
        <f>IF($F$1=1.8%,LOOKUP($A42,Sal_valid!$B$6:$B$127,Sal_valid!$C$6:$C$127),IF($F$1=1.5%,LOOKUP($A42,Sal_valid!$B$6:$B$127,Sal_valid!$D$6:$D$127),IF($F$1=1.3%,LOOKUP($A42,Sal_valid!$B$6:$B$127,Sal_valid!$E$6:$E$127),LOOKUP($A42,Sal_valid!$B$6:$B$127,Sal_valid!$F$6:$F$127))))</f>
        <v>1061.9598540758006</v>
      </c>
      <c r="T42" s="73">
        <f>Revalo_RB!$D54</f>
        <v>1.1661807580174877E-2</v>
      </c>
      <c r="U42" s="73">
        <f>Revalo_RB!$H54</f>
        <v>2.315105534979689E-2</v>
      </c>
      <c r="V42" s="56">
        <f>IF($F$1=1.8%,LOOKUP($A42,PSS!$B$6:$B$127,PSS!$C$6:$C$127),IF($F$1=1.5%,LOOKUP($A42,PSS!$B$6:$B$127,PSS!$D$6:$D$127),IF($F$1=1.3%,LOOKUP($A42,PSS!$B$6:$B$127,PSS!$E$6:$E$127),LOOKUP($A42,PSS!$B$6:$B$127,PSS!$F$6:$F$127))))</f>
        <v>23344.196404788563</v>
      </c>
      <c r="W42" s="56">
        <f>IF($F$1=1.8%,LOOKUP($A42,Smic_AVPF!$B$6:$B$104,Smic_AVPF!$C$6:$C$104),IF($F$1=1.5%,LOOKUP($A42,Smic_AVPF!$B$6:$B$104,Smic_AVPF!$D$6:$D$104),IF($F$1=1.3%,LOOKUP($A42,Smic_AVPF!$B$6:$B$104,Smic_AVPF!$E$6:$E$104),LOOKUP($A42,Smic_AVPF!$B$6:$B$104,Smic_AVPF!$F$6:$F$104))))</f>
        <v>10768.27292032862</v>
      </c>
      <c r="X42" s="56">
        <v>4905.137074533849</v>
      </c>
      <c r="Y42" s="56"/>
      <c r="Z42" s="56"/>
      <c r="AA42" s="337"/>
      <c r="AB42" s="666">
        <v>1994</v>
      </c>
      <c r="AC42" s="672">
        <v>0.04</v>
      </c>
      <c r="AD42" s="673">
        <v>2.4E-2</v>
      </c>
      <c r="AE42" s="673">
        <v>1.6E-2</v>
      </c>
      <c r="AF42" s="668">
        <v>0.1</v>
      </c>
      <c r="AG42" s="668">
        <v>7.0000000000000007E-2</v>
      </c>
      <c r="AH42" s="668">
        <v>0.03</v>
      </c>
      <c r="AI42" s="337"/>
      <c r="AJ42" s="667">
        <v>1.25</v>
      </c>
      <c r="AK42" s="667">
        <v>1.21</v>
      </c>
      <c r="AL42" s="337"/>
      <c r="AM42" s="337"/>
      <c r="AN42" s="337"/>
      <c r="AO42" s="337"/>
      <c r="AP42" s="337"/>
      <c r="AQ42" s="668">
        <f t="shared" si="8"/>
        <v>1.9599999999999999E-2</v>
      </c>
      <c r="AR42" s="668">
        <f>IF(Simulation!$D$42="Oui",Barèmes!$AT42,0)</f>
        <v>1.1599999999999999E-2</v>
      </c>
      <c r="AS42" s="668">
        <f>IF(Simulation!$D$42="Oui",Barèmes!$AU42,0)</f>
        <v>8.0000000000000002E-3</v>
      </c>
      <c r="AT42" s="678">
        <v>1.1599999999999999E-2</v>
      </c>
      <c r="AU42" s="678">
        <v>8.0000000000000002E-3</v>
      </c>
      <c r="AV42" s="668">
        <f t="shared" si="9"/>
        <v>2.18E-2</v>
      </c>
      <c r="AW42" s="668">
        <f>IF(Simulation!$D$42="Oui",Barèmes!$AY42,0)</f>
        <v>1.29E-2</v>
      </c>
      <c r="AX42" s="668">
        <f>IF(Simulation!$D$42="Oui",Barèmes!$AZ42,0)</f>
        <v>8.8999999999999999E-3</v>
      </c>
      <c r="AY42" s="678">
        <v>1.29E-2</v>
      </c>
      <c r="AZ42" s="678">
        <v>8.8999999999999999E-3</v>
      </c>
      <c r="BA42" s="663"/>
      <c r="BB42" s="686">
        <v>2.9758</v>
      </c>
      <c r="BC42" s="683">
        <v>8.6533568511350598</v>
      </c>
      <c r="BD42" s="664"/>
      <c r="BE42" s="687">
        <v>0.35109000000000001</v>
      </c>
      <c r="BF42" s="687">
        <v>0.94930003033735444</v>
      </c>
      <c r="BG42" s="664"/>
      <c r="BH42" s="687">
        <v>0.3510900866977561</v>
      </c>
      <c r="BI42" s="687">
        <v>0.955793524591808</v>
      </c>
      <c r="BJ42" s="661"/>
      <c r="BK42" s="366"/>
      <c r="BL42" s="666">
        <v>1994</v>
      </c>
      <c r="BM42" s="13">
        <v>61</v>
      </c>
      <c r="BN42" s="661"/>
      <c r="BO42" s="79"/>
      <c r="BP42" s="79"/>
      <c r="BQ42" s="146">
        <v>0</v>
      </c>
      <c r="BR42" s="668"/>
      <c r="BS42" s="668"/>
      <c r="BT42" s="668">
        <v>2.4E-2</v>
      </c>
      <c r="BU42" s="366"/>
      <c r="BV42" s="666">
        <v>1994</v>
      </c>
      <c r="BW42" s="660"/>
      <c r="BX42" s="661"/>
      <c r="BY42" s="79"/>
      <c r="BZ42" s="79"/>
      <c r="CA42" s="6">
        <f t="shared" si="10"/>
        <v>0</v>
      </c>
      <c r="CB42" s="6"/>
      <c r="CC42" s="6"/>
      <c r="CD42" s="6">
        <f t="shared" si="11"/>
        <v>2.4E-2</v>
      </c>
      <c r="CE42" s="690">
        <v>2.4E-2</v>
      </c>
      <c r="CG42" s="666">
        <v>1994</v>
      </c>
      <c r="CH42" s="691">
        <v>2.4E-2</v>
      </c>
      <c r="CI42" s="665"/>
      <c r="CJ42" s="336"/>
      <c r="CK42" s="699">
        <v>0.95</v>
      </c>
      <c r="CL42" s="697">
        <v>6.8000000000000005E-2</v>
      </c>
      <c r="CM42" s="673">
        <v>3.2199999999999999E-2</v>
      </c>
      <c r="CN42" s="673">
        <v>3.8599999999999995E-2</v>
      </c>
      <c r="CO42" s="674">
        <v>2.4000000000000001E-4</v>
      </c>
    </row>
    <row r="43" spans="1:93" s="361" customFormat="1" hidden="1" x14ac:dyDescent="0.25">
      <c r="A43" s="666">
        <v>1995</v>
      </c>
      <c r="B43" s="54">
        <f>IF($F$1=1.8%,LOOKUP($A43,Prix!B$6:B$127,Prix!$G$6:$G$127),IF($F$1=1.5%,LOOKUP($A43,Prix!B$6:B$127,Prix!$H$6:$H$127),IF($F$1=1.3%,LOOKUP($A43,Prix!B$6:B$127,Prix!$I$6:$I$127),LOOKUP($A43,Prix!B$6:B$127,Prix!$J$6:$J$127))))</f>
        <v>1.8944519621109546E-2</v>
      </c>
      <c r="C43" s="7">
        <f t="shared" si="0"/>
        <v>0.7056239854864893</v>
      </c>
      <c r="D43" s="56">
        <f>IF($F$1=1.8%,LOOKUP($A43,SMPT!$B$6:$B$127,SMPT!$C$6:$C$127),IF($F$1=1.5%,LOOKUP($A43,SMPT!$B$6:$B$127,SMPT!$D$6:$D$127),IF($F$1=1.3%,LOOKUP($A43,SMPT!$B$6:$B$127,SMPT!$E$6:$E$127),LOOKUP($A43,SMPT!$B$6:$B$127,SMPT!$F$6:$F$127))))</f>
        <v>22996.744745671662</v>
      </c>
      <c r="E43" s="58">
        <f t="shared" si="3"/>
        <v>2.4423749140604745E-2</v>
      </c>
      <c r="F43" s="56">
        <f>IF($F$1=1.8%,LOOKUP($A43,SMIC!$B$6:$B$125,SMIC!$C$6:$C$125),IF($F$1=1.5%,LOOKUP($A43,SMIC!$B$6:$B$125,SMIC!$D$6:$D$125),IF($F$1=1.3%,LOOKUP($A43,SMIC!$B$6:$B$125,SMIC!$E$6:$E$125),LOOKUP($A43,SMIC!$B$6:$B$125,SMIC!$F$6:$F$125))))</f>
        <v>11215.277012081126</v>
      </c>
      <c r="G43" s="153">
        <f t="shared" si="1"/>
        <v>0.62611878867775139</v>
      </c>
      <c r="H43" s="357">
        <f t="shared" si="4"/>
        <v>1.8406317362440916E-2</v>
      </c>
      <c r="I43" s="666">
        <v>1995</v>
      </c>
      <c r="J43" s="662"/>
      <c r="K43" s="668">
        <f t="shared" si="6"/>
        <v>0.16449999999999998</v>
      </c>
      <c r="L43" s="668">
        <v>9.799999999999999E-2</v>
      </c>
      <c r="M43" s="668">
        <v>6.6500000000000004E-2</v>
      </c>
      <c r="N43" s="668">
        <f t="shared" si="7"/>
        <v>1.7000000000000001E-2</v>
      </c>
      <c r="O43" s="668">
        <f>IF(Simulation!$D$43="Oui",$Q43,0)</f>
        <v>1.6E-2</v>
      </c>
      <c r="P43" s="668">
        <f>IF(Simulation!$D$43="Oui",$R43,0)</f>
        <v>1E-3</v>
      </c>
      <c r="Q43" s="677">
        <v>1.6E-2</v>
      </c>
      <c r="R43" s="677">
        <v>1E-3</v>
      </c>
      <c r="S43" s="56">
        <f>IF($F$1=1.8%,LOOKUP($A43,Sal_valid!$B$6:$B$127,Sal_valid!$C$6:$C$127),IF($F$1=1.5%,LOOKUP($A43,Sal_valid!$B$6:$B$127,Sal_valid!$D$6:$D$127),IF($F$1=1.3%,LOOKUP($A43,Sal_valid!$B$6:$B$127,Sal_valid!$E$6:$E$127),LOOKUP($A43,Sal_valid!$B$6:$B$127,Sal_valid!$F$6:$F$127))))</f>
        <v>1084.2174105924626</v>
      </c>
      <c r="T43" s="73">
        <f>Revalo_RB!$D55</f>
        <v>2.4645257654966501E-2</v>
      </c>
      <c r="U43" s="73">
        <f>Revalo_RB!$H55</f>
        <v>2.6161473827044368E-2</v>
      </c>
      <c r="V43" s="56">
        <f>IF($F$1=1.8%,LOOKUP($A43,PSS!$B$6:$B$127,PSS!$C$6:$C$127),IF($F$1=1.5%,LOOKUP($A43,PSS!$B$6:$B$127,PSS!$D$6:$D$127),IF($F$1=1.3%,LOOKUP($A43,PSS!$B$6:$B$127,PSS!$E$6:$E$127),LOOKUP($A43,PSS!$B$6:$B$127,PSS!$F$6:$F$127))))</f>
        <v>23773.877092386254</v>
      </c>
      <c r="W43" s="56">
        <f>IF($F$1=1.8%,LOOKUP($A43,Smic_AVPF!$B$6:$B$104,Smic_AVPF!$C$6:$C$104),IF($F$1=1.5%,LOOKUP($A43,Smic_AVPF!$B$6:$B$104,Smic_AVPF!$D$6:$D$104),IF($F$1=1.3%,LOOKUP($A43,Smic_AVPF!$B$6:$B$104,Smic_AVPF!$E$6:$E$104),LOOKUP($A43,Smic_AVPF!$B$6:$B$104,Smic_AVPF!$F$6:$F$104))))</f>
        <v>10993.964543407572</v>
      </c>
      <c r="X43" s="56">
        <v>4963.9976400892128</v>
      </c>
      <c r="Y43" s="56"/>
      <c r="Z43" s="56"/>
      <c r="AA43" s="337"/>
      <c r="AB43" s="666">
        <v>1995</v>
      </c>
      <c r="AC43" s="672">
        <v>0.04</v>
      </c>
      <c r="AD43" s="673">
        <v>2.4E-2</v>
      </c>
      <c r="AE43" s="673">
        <v>1.6E-2</v>
      </c>
      <c r="AF43" s="668">
        <v>0.12</v>
      </c>
      <c r="AG43" s="668">
        <v>0.08</v>
      </c>
      <c r="AH43" s="668">
        <v>0.04</v>
      </c>
      <c r="AI43" s="337"/>
      <c r="AJ43" s="667">
        <v>1.25</v>
      </c>
      <c r="AK43" s="667">
        <v>1.25</v>
      </c>
      <c r="AL43" s="337"/>
      <c r="AM43" s="337"/>
      <c r="AN43" s="337"/>
      <c r="AO43" s="337"/>
      <c r="AP43" s="337"/>
      <c r="AQ43" s="668">
        <f t="shared" si="8"/>
        <v>1.9599999999999999E-2</v>
      </c>
      <c r="AR43" s="668">
        <f>IF(Simulation!$D$42="Oui",Barèmes!$AT43,0)</f>
        <v>1.1599999999999999E-2</v>
      </c>
      <c r="AS43" s="668">
        <f>IF(Simulation!$D$42="Oui",Barèmes!$AU43,0)</f>
        <v>8.0000000000000002E-3</v>
      </c>
      <c r="AT43" s="678">
        <v>1.1599999999999999E-2</v>
      </c>
      <c r="AU43" s="678">
        <v>8.0000000000000002E-3</v>
      </c>
      <c r="AV43" s="668">
        <f t="shared" si="9"/>
        <v>2.18E-2</v>
      </c>
      <c r="AW43" s="668">
        <f>IF(Simulation!$D$42="Oui",Barèmes!$AY43,0)</f>
        <v>1.29E-2</v>
      </c>
      <c r="AX43" s="668">
        <f>IF(Simulation!$D$42="Oui",Barèmes!$AZ43,0)</f>
        <v>8.8999999999999999E-3</v>
      </c>
      <c r="AY43" s="678">
        <v>1.29E-2</v>
      </c>
      <c r="AZ43" s="678">
        <v>8.8999999999999999E-3</v>
      </c>
      <c r="BA43" s="663"/>
      <c r="BB43" s="686">
        <v>3.05355</v>
      </c>
      <c r="BC43" s="683">
        <v>8.8004549078674366</v>
      </c>
      <c r="BD43" s="664"/>
      <c r="BE43" s="687">
        <v>0.35109000000000001</v>
      </c>
      <c r="BF43" s="687">
        <v>0.95692248119922496</v>
      </c>
      <c r="BG43" s="664"/>
      <c r="BH43" s="687">
        <v>0.3510900866977561</v>
      </c>
      <c r="BI43" s="687">
        <v>0.96343987278854248</v>
      </c>
      <c r="BJ43" s="661"/>
      <c r="BK43" s="366"/>
      <c r="BL43" s="666">
        <v>1995</v>
      </c>
      <c r="BM43" s="13">
        <v>61</v>
      </c>
      <c r="BN43" s="661"/>
      <c r="BO43" s="79"/>
      <c r="BP43" s="79"/>
      <c r="BQ43" s="146">
        <v>0</v>
      </c>
      <c r="BR43" s="668"/>
      <c r="BS43" s="668"/>
      <c r="BT43" s="668">
        <v>2.4E-2</v>
      </c>
      <c r="BU43" s="366"/>
      <c r="BV43" s="666">
        <v>1995</v>
      </c>
      <c r="BW43" s="660"/>
      <c r="BX43" s="661"/>
      <c r="BY43" s="79"/>
      <c r="BZ43" s="79"/>
      <c r="CA43" s="6">
        <f t="shared" si="10"/>
        <v>0</v>
      </c>
      <c r="CB43" s="6"/>
      <c r="CC43" s="6"/>
      <c r="CD43" s="6">
        <f t="shared" si="11"/>
        <v>2.4E-2</v>
      </c>
      <c r="CE43" s="690">
        <v>2.4E-2</v>
      </c>
      <c r="CG43" s="666">
        <v>1995</v>
      </c>
      <c r="CH43" s="691">
        <v>2.4E-2</v>
      </c>
      <c r="CI43" s="665"/>
      <c r="CJ43" s="336"/>
      <c r="CK43" s="699">
        <v>0.95</v>
      </c>
      <c r="CL43" s="697">
        <v>6.8000000000000005E-2</v>
      </c>
      <c r="CM43" s="673">
        <v>3.2199999999999999E-2</v>
      </c>
      <c r="CN43" s="673">
        <v>3.8599999999999995E-2</v>
      </c>
      <c r="CO43" s="674">
        <v>2.4000000000000001E-4</v>
      </c>
    </row>
    <row r="44" spans="1:93" s="361" customFormat="1" hidden="1" x14ac:dyDescent="0.25">
      <c r="A44" s="666">
        <v>1996</v>
      </c>
      <c r="B44" s="54">
        <f>IF($F$1=1.8%,LOOKUP($A44,Prix!B$6:B$127,Prix!$G$6:$G$127),IF($F$1=1.5%,LOOKUP($A44,Prix!B$6:B$127,Prix!$H$6:$H$127),IF($F$1=1.3%,LOOKUP($A44,Prix!B$6:B$127,Prix!$I$6:$I$127),LOOKUP($A44,Prix!B$6:B$127,Prix!$J$6:$J$127))))</f>
        <v>1.9920318725099584E-2</v>
      </c>
      <c r="C44" s="7">
        <f t="shared" si="0"/>
        <v>0.71899169292466358</v>
      </c>
      <c r="D44" s="56">
        <f>IF($F$1=1.8%,LOOKUP($A44,SMPT!$B$6:$B$127,SMPT!$C$6:$C$127),IF($F$1=1.5%,LOOKUP($A44,SMPT!$B$6:$B$127,SMPT!$D$6:$D$127),IF($F$1=1.3%,LOOKUP($A44,SMPT!$B$6:$B$127,SMPT!$E$6:$E$127),LOOKUP($A44,SMPT!$B$6:$B$127,SMPT!$F$6:$F$127))))</f>
        <v>23556.273762392739</v>
      </c>
      <c r="E44" s="58">
        <f t="shared" si="3"/>
        <v>2.4330792158154813E-2</v>
      </c>
      <c r="F44" s="56">
        <f>IF($F$1=1.8%,LOOKUP($A44,SMIC!$B$6:$B$125,SMIC!$C$6:$C$125),IF($F$1=1.5%,LOOKUP($A44,SMIC!$B$6:$B$125,SMIC!$D$6:$D$125),IF($F$1=1.3%,LOOKUP($A44,SMIC!$B$6:$B$125,SMIC!$E$6:$E$125),LOOKUP($A44,SMIC!$B$6:$B$125,SMIC!$F$6:$F$125))))</f>
        <v>11615.659732993792</v>
      </c>
      <c r="G44" s="153">
        <f t="shared" si="1"/>
        <v>0.64135275479138543</v>
      </c>
      <c r="H44" s="357">
        <f t="shared" si="4"/>
        <v>3.3860826001241628E-2</v>
      </c>
      <c r="I44" s="666">
        <v>1996</v>
      </c>
      <c r="J44" s="662"/>
      <c r="K44" s="668">
        <f t="shared" si="6"/>
        <v>0.16449999999999998</v>
      </c>
      <c r="L44" s="668">
        <v>9.799999999999999E-2</v>
      </c>
      <c r="M44" s="668">
        <v>6.6500000000000004E-2</v>
      </c>
      <c r="N44" s="668">
        <f t="shared" si="7"/>
        <v>1.7000000000000001E-2</v>
      </c>
      <c r="O44" s="668">
        <f>IF(Simulation!$D$43="Oui",$Q44,0)</f>
        <v>1.6E-2</v>
      </c>
      <c r="P44" s="668">
        <f>IF(Simulation!$D$43="Oui",$R44,0)</f>
        <v>1E-3</v>
      </c>
      <c r="Q44" s="677">
        <v>1.6E-2</v>
      </c>
      <c r="R44" s="677">
        <v>1E-3</v>
      </c>
      <c r="S44" s="56">
        <f>IF($F$1=1.8%,LOOKUP($A44,Sal_valid!$B$6:$B$127,Sal_valid!$C$6:$C$127),IF($F$1=1.5%,LOOKUP($A44,Sal_valid!$B$6:$B$127,Sal_valid!$D$6:$D$127),IF($F$1=1.3%,LOOKUP($A44,Sal_valid!$B$6:$B$127,Sal_valid!$E$6:$E$127),LOOKUP($A44,Sal_valid!$B$6:$B$127,Sal_valid!$F$6:$F$127))))</f>
        <v>1127.5129314878873</v>
      </c>
      <c r="T44" s="73">
        <f>Revalo_RB!$D56</f>
        <v>1.0566037735848965E-2</v>
      </c>
      <c r="U44" s="73">
        <f>Revalo_RB!$H56</f>
        <v>0</v>
      </c>
      <c r="V44" s="56">
        <f>IF($F$1=1.8%,LOOKUP($A44,PSS!$B$6:$B$127,PSS!$C$6:$C$127),IF($F$1=1.5%,LOOKUP($A44,PSS!$B$6:$B$127,PSS!$D$6:$D$127),IF($F$1=1.3%,LOOKUP($A44,PSS!$B$6:$B$127,PSS!$E$6:$E$127),LOOKUP($A44,PSS!$B$6:$B$127,PSS!$F$6:$F$127))))</f>
        <v>24578.880207986447</v>
      </c>
      <c r="W44" s="56">
        <f>IF($F$1=1.8%,LOOKUP($A44,Smic_AVPF!$B$6:$B$104,Smic_AVPF!$C$6:$C$104),IF($F$1=1.5%,LOOKUP($A44,Smic_AVPF!$B$6:$B$104,Smic_AVPF!$D$6:$D$104),IF($F$1=1.3%,LOOKUP($A44,Smic_AVPF!$B$6:$B$104,Smic_AVPF!$E$6:$E$104),LOOKUP($A44,Smic_AVPF!$B$6:$B$104,Smic_AVPF!$F$6:$F$104))))</f>
        <v>11432.981125287177</v>
      </c>
      <c r="X44" s="56">
        <v>5070.7226235866074</v>
      </c>
      <c r="Y44" s="56"/>
      <c r="Z44" s="56"/>
      <c r="AA44" s="337"/>
      <c r="AB44" s="666">
        <v>1996</v>
      </c>
      <c r="AC44" s="672">
        <v>4.5000000000000005E-2</v>
      </c>
      <c r="AD44" s="673">
        <v>2.7000000000000003E-2</v>
      </c>
      <c r="AE44" s="673">
        <v>1.8000000000000002E-2</v>
      </c>
      <c r="AF44" s="668">
        <v>0.13</v>
      </c>
      <c r="AG44" s="668">
        <v>8.5000000000000006E-2</v>
      </c>
      <c r="AH44" s="668">
        <v>4.4999999999999998E-2</v>
      </c>
      <c r="AI44" s="337"/>
      <c r="AJ44" s="667">
        <v>1.25</v>
      </c>
      <c r="AK44" s="667">
        <v>1.25</v>
      </c>
      <c r="AL44" s="337"/>
      <c r="AM44" s="337"/>
      <c r="AN44" s="337"/>
      <c r="AO44" s="337"/>
      <c r="AP44" s="337"/>
      <c r="AQ44" s="668">
        <f t="shared" si="8"/>
        <v>1.9599999999999999E-2</v>
      </c>
      <c r="AR44" s="668">
        <f>IF(Simulation!$D$42="Oui",Barèmes!$AT44,0)</f>
        <v>1.1599999999999999E-2</v>
      </c>
      <c r="AS44" s="668">
        <f>IF(Simulation!$D$42="Oui",Barèmes!$AU44,0)</f>
        <v>8.0000000000000002E-3</v>
      </c>
      <c r="AT44" s="678">
        <v>1.1599999999999999E-2</v>
      </c>
      <c r="AU44" s="678">
        <v>8.0000000000000002E-3</v>
      </c>
      <c r="AV44" s="668">
        <f t="shared" si="9"/>
        <v>2.18E-2</v>
      </c>
      <c r="AW44" s="668">
        <f>IF(Simulation!$D$42="Oui",Barèmes!$AY44,0)</f>
        <v>1.29E-2</v>
      </c>
      <c r="AX44" s="668">
        <f>IF(Simulation!$D$42="Oui",Barèmes!$AZ44,0)</f>
        <v>8.8999999999999999E-3</v>
      </c>
      <c r="AY44" s="678">
        <v>1.29E-2</v>
      </c>
      <c r="AZ44" s="678">
        <v>8.8999999999999999E-3</v>
      </c>
      <c r="BA44" s="663"/>
      <c r="BB44" s="686">
        <v>3.2258200000000001</v>
      </c>
      <c r="BC44" s="683">
        <v>9.3020883990871344</v>
      </c>
      <c r="BD44" s="664"/>
      <c r="BE44" s="687">
        <v>0.35635</v>
      </c>
      <c r="BF44" s="687">
        <v>0.97373760780051133</v>
      </c>
      <c r="BG44" s="664"/>
      <c r="BH44" s="687">
        <v>0.35634957779244675</v>
      </c>
      <c r="BI44" s="687">
        <v>0.9803964145496209</v>
      </c>
      <c r="BJ44" s="661"/>
      <c r="BK44" s="366"/>
      <c r="BL44" s="666">
        <v>1996</v>
      </c>
      <c r="BM44" s="13">
        <v>61</v>
      </c>
      <c r="BN44" s="661"/>
      <c r="BO44" s="79"/>
      <c r="BP44" s="79"/>
      <c r="BQ44" s="146">
        <v>0</v>
      </c>
      <c r="BR44" s="668">
        <v>4.5833333333333334E-3</v>
      </c>
      <c r="BS44" s="668"/>
      <c r="BT44" s="668">
        <v>2.8583333333333336E-2</v>
      </c>
      <c r="BU44" s="366"/>
      <c r="BV44" s="666">
        <v>1996</v>
      </c>
      <c r="BW44" s="660"/>
      <c r="BX44" s="661"/>
      <c r="BY44" s="79"/>
      <c r="BZ44" s="79"/>
      <c r="CA44" s="6">
        <f t="shared" si="10"/>
        <v>0</v>
      </c>
      <c r="CB44" s="6">
        <f t="shared" ref="CB44:CB66" si="12">BR44</f>
        <v>4.5833333333333334E-3</v>
      </c>
      <c r="CC44" s="6"/>
      <c r="CD44" s="6">
        <f t="shared" si="11"/>
        <v>2.8583333333333336E-2</v>
      </c>
      <c r="CE44" s="690">
        <v>2.8583333333333336E-2</v>
      </c>
      <c r="CG44" s="666">
        <v>1996</v>
      </c>
      <c r="CH44" s="691">
        <v>2.4E-2</v>
      </c>
      <c r="CI44" s="665"/>
      <c r="CJ44" s="313">
        <f>0.5%*11/12</f>
        <v>4.5833333333333334E-3</v>
      </c>
      <c r="CK44" s="320">
        <v>0.95</v>
      </c>
      <c r="CL44" s="697">
        <v>6.8000000000000005E-2</v>
      </c>
      <c r="CM44" s="673">
        <v>3.2199999999999999E-2</v>
      </c>
      <c r="CN44" s="673">
        <v>3.8599999999999995E-2</v>
      </c>
      <c r="CO44" s="674">
        <v>2.4000000000000001E-4</v>
      </c>
    </row>
    <row r="45" spans="1:93" s="361" customFormat="1" hidden="1" x14ac:dyDescent="0.25">
      <c r="A45" s="666">
        <v>1997</v>
      </c>
      <c r="B45" s="54">
        <f>IF($F$1=1.8%,LOOKUP($A45,Prix!B$6:B$127,Prix!$G$6:$G$127),IF($F$1=1.5%,LOOKUP($A45,Prix!B$6:B$127,Prix!$H$6:$H$127),IF($F$1=1.3%,LOOKUP($A45,Prix!B$6:B$127,Prix!$I$6:$I$127),LOOKUP($A45,Prix!B$6:B$127,Prix!$J$6:$J$127))))</f>
        <v>1.171875E-2</v>
      </c>
      <c r="C45" s="7">
        <f t="shared" si="0"/>
        <v>0.73331423660842177</v>
      </c>
      <c r="D45" s="56">
        <f>IF($F$1=1.8%,LOOKUP($A45,SMPT!$B$6:$B$127,SMPT!$C$6:$C$127),IF($F$1=1.5%,LOOKUP($A45,SMPT!$B$6:$B$127,SMPT!$D$6:$D$127),IF($F$1=1.3%,LOOKUP($A45,SMPT!$B$6:$B$127,SMPT!$E$6:$E$127),LOOKUP($A45,SMPT!$B$6:$B$127,SMPT!$F$6:$F$127))))</f>
        <v>23896.513178718149</v>
      </c>
      <c r="E45" s="58">
        <f t="shared" si="3"/>
        <v>1.4443685778036564E-2</v>
      </c>
      <c r="F45" s="56">
        <f>IF($F$1=1.8%,LOOKUP($A45,SMIC!$B$6:$B$125,SMIC!$C$6:$C$125),IF($F$1=1.5%,LOOKUP($A45,SMIC!$B$6:$B$125,SMIC!$D$6:$D$125),IF($F$1=1.3%,LOOKUP($A45,SMIC!$B$6:$B$125,SMIC!$E$6:$E$125),LOOKUP($A45,SMIC!$B$6:$B$125,SMIC!$F$6:$F$125))))</f>
        <v>11957.403923549029</v>
      </c>
      <c r="G45" s="153">
        <f t="shared" si="1"/>
        <v>0.65061625245447041</v>
      </c>
      <c r="H45" s="357">
        <f t="shared" si="4"/>
        <v>2.1169637736861757E-2</v>
      </c>
      <c r="I45" s="666">
        <v>1997</v>
      </c>
      <c r="J45" s="662"/>
      <c r="K45" s="668">
        <f t="shared" si="6"/>
        <v>0.16449999999999998</v>
      </c>
      <c r="L45" s="668">
        <v>9.799999999999999E-2</v>
      </c>
      <c r="M45" s="668">
        <v>6.6500000000000004E-2</v>
      </c>
      <c r="N45" s="668">
        <f t="shared" si="7"/>
        <v>1.7000000000000001E-2</v>
      </c>
      <c r="O45" s="668">
        <f>IF(Simulation!$D$43="Oui",$Q45,0)</f>
        <v>1.6E-2</v>
      </c>
      <c r="P45" s="668">
        <f>IF(Simulation!$D$43="Oui",$R45,0)</f>
        <v>1E-3</v>
      </c>
      <c r="Q45" s="677">
        <v>1.6E-2</v>
      </c>
      <c r="R45" s="677">
        <v>1E-3</v>
      </c>
      <c r="S45" s="56">
        <f>IF($F$1=1.8%,LOOKUP($A45,Sal_valid!$B$6:$B$127,Sal_valid!$C$6:$C$127),IF($F$1=1.5%,LOOKUP($A45,Sal_valid!$B$6:$B$127,Sal_valid!$D$6:$D$127),IF($F$1=1.3%,LOOKUP($A45,Sal_valid!$B$6:$B$127,Sal_valid!$E$6:$E$127),LOOKUP($A45,Sal_valid!$B$6:$B$127,Sal_valid!$F$6:$F$127))))</f>
        <v>1155.8684486940456</v>
      </c>
      <c r="T45" s="73">
        <f>Revalo_RB!$D57</f>
        <v>1.1450381679389166E-2</v>
      </c>
      <c r="U45" s="73">
        <f>Revalo_RB!$H57</f>
        <v>1.0017149587941754E-2</v>
      </c>
      <c r="V45" s="56">
        <f>IF($F$1=1.8%,LOOKUP($A45,PSS!$B$6:$B$127,PSS!$C$6:$C$127),IF($F$1=1.5%,LOOKUP($A45,PSS!$B$6:$B$127,PSS!$D$6:$D$127),IF($F$1=1.3%,LOOKUP($A45,PSS!$B$6:$B$127,PSS!$E$6:$E$127),LOOKUP($A45,PSS!$B$6:$B$127,PSS!$F$6:$F$127))))</f>
        <v>25099.206197967243</v>
      </c>
      <c r="W45" s="56">
        <f>IF($F$1=1.8%,LOOKUP($A45,Smic_AVPF!$B$6:$B$104,Smic_AVPF!$C$6:$C$104),IF($F$1=1.5%,LOOKUP($A45,Smic_AVPF!$B$6:$B$104,Smic_AVPF!$D$6:$D$104),IF($F$1=1.3%,LOOKUP($A45,Smic_AVPF!$B$6:$B$104,Smic_AVPF!$E$6:$E$104),LOOKUP($A45,Smic_AVPF!$B$6:$B$104,Smic_AVPF!$F$6:$F$104))))</f>
        <v>11720.506069757623</v>
      </c>
      <c r="X45" s="56">
        <v>5136.6415786400639</v>
      </c>
      <c r="Y45" s="56"/>
      <c r="Z45" s="56"/>
      <c r="AA45" s="337"/>
      <c r="AB45" s="666">
        <v>1997</v>
      </c>
      <c r="AC45" s="672">
        <v>0.05</v>
      </c>
      <c r="AD45" s="673">
        <v>0.03</v>
      </c>
      <c r="AE45" s="673">
        <v>0.02</v>
      </c>
      <c r="AF45" s="668">
        <v>0.14000000000000001</v>
      </c>
      <c r="AG45" s="668">
        <v>0.09</v>
      </c>
      <c r="AH45" s="668">
        <v>5.000000000000001E-2</v>
      </c>
      <c r="AI45" s="337"/>
      <c r="AJ45" s="667">
        <v>1.25</v>
      </c>
      <c r="AK45" s="667">
        <v>1.25</v>
      </c>
      <c r="AL45" s="673">
        <f>AM45+AN45</f>
        <v>7.000000000000001E-4</v>
      </c>
      <c r="AM45" s="673">
        <f>IF(Simulation!$D$42="Oui",Barèmes!$AO45,0)</f>
        <v>4.4000000000000012E-4</v>
      </c>
      <c r="AN45" s="673">
        <f>IF(Simulation!$D$42="Oui",Barèmes!$AP45,0)</f>
        <v>2.5999999999999998E-4</v>
      </c>
      <c r="AO45" s="677">
        <v>4.4000000000000012E-4</v>
      </c>
      <c r="AP45" s="677">
        <v>2.5999999999999998E-4</v>
      </c>
      <c r="AQ45" s="668">
        <f t="shared" si="8"/>
        <v>1.9599999999999999E-2</v>
      </c>
      <c r="AR45" s="668">
        <f>IF(Simulation!$D$42="Oui",Barèmes!$AT45,0)</f>
        <v>1.1599999999999999E-2</v>
      </c>
      <c r="AS45" s="668">
        <f>IF(Simulation!$D$42="Oui",Barèmes!$AU45,0)</f>
        <v>8.0000000000000002E-3</v>
      </c>
      <c r="AT45" s="678">
        <v>1.1599999999999999E-2</v>
      </c>
      <c r="AU45" s="678">
        <v>8.0000000000000002E-3</v>
      </c>
      <c r="AV45" s="668">
        <f t="shared" si="9"/>
        <v>2.18E-2</v>
      </c>
      <c r="AW45" s="668">
        <f>IF(Simulation!$D$42="Oui",Barèmes!$AY45,0)</f>
        <v>1.29E-2</v>
      </c>
      <c r="AX45" s="668">
        <f>IF(Simulation!$D$42="Oui",Barèmes!$AZ45,0)</f>
        <v>8.8999999999999999E-3</v>
      </c>
      <c r="AY45" s="678">
        <v>1.29E-2</v>
      </c>
      <c r="AZ45" s="678">
        <v>8.8999999999999999E-3</v>
      </c>
      <c r="BA45" s="663"/>
      <c r="BB45" s="686">
        <v>3.3935200000000001</v>
      </c>
      <c r="BC45" s="683">
        <v>9.8323060810388494</v>
      </c>
      <c r="BD45" s="664"/>
      <c r="BE45" s="687">
        <v>0.35813299999999998</v>
      </c>
      <c r="BF45" s="687">
        <v>0.97957640516070421</v>
      </c>
      <c r="BG45" s="664"/>
      <c r="BH45" s="687">
        <v>0.3581332312941245</v>
      </c>
      <c r="BI45" s="687">
        <v>0.98627879303691868</v>
      </c>
      <c r="BJ45" s="661"/>
      <c r="BK45" s="366"/>
      <c r="BL45" s="666">
        <v>1997</v>
      </c>
      <c r="BM45" s="13">
        <v>61</v>
      </c>
      <c r="BN45" s="661"/>
      <c r="BO45" s="79"/>
      <c r="BP45" s="79"/>
      <c r="BQ45" s="146">
        <v>0</v>
      </c>
      <c r="BR45" s="668">
        <v>1.4999999999999999E-2</v>
      </c>
      <c r="BS45" s="668"/>
      <c r="BT45" s="668">
        <v>3.9E-2</v>
      </c>
      <c r="BU45" s="366"/>
      <c r="BV45" s="666">
        <v>1997</v>
      </c>
      <c r="BW45" s="660"/>
      <c r="BX45" s="661"/>
      <c r="BY45" s="79"/>
      <c r="BZ45" s="79"/>
      <c r="CA45" s="6">
        <f t="shared" si="10"/>
        <v>0</v>
      </c>
      <c r="CB45" s="6">
        <f t="shared" si="12"/>
        <v>1.4999999999999999E-2</v>
      </c>
      <c r="CC45" s="6"/>
      <c r="CD45" s="6">
        <f t="shared" si="11"/>
        <v>3.9E-2</v>
      </c>
      <c r="CE45" s="690">
        <v>2.8999999999999998E-2</v>
      </c>
      <c r="CG45" s="666">
        <v>1997</v>
      </c>
      <c r="CH45" s="691">
        <v>3.4000000000000002E-2</v>
      </c>
      <c r="CI45" s="692">
        <v>0.01</v>
      </c>
      <c r="CJ45" s="313">
        <v>5.0000000000000001E-3</v>
      </c>
      <c r="CK45" s="320">
        <v>0.95</v>
      </c>
      <c r="CL45" s="697">
        <v>5.5E-2</v>
      </c>
      <c r="CM45" s="673">
        <v>3.0099999999999998E-2</v>
      </c>
      <c r="CN45" s="673">
        <v>3.6000000000000004E-2</v>
      </c>
      <c r="CO45" s="674">
        <v>2.4000000000000001E-4</v>
      </c>
    </row>
    <row r="46" spans="1:93" s="361" customFormat="1" hidden="1" x14ac:dyDescent="0.25">
      <c r="A46" s="666">
        <v>1998</v>
      </c>
      <c r="B46" s="54">
        <f>IF($F$1=1.8%,LOOKUP($A46,Prix!B$6:B$127,Prix!$G$6:$G$127),IF($F$1=1.5%,LOOKUP($A46,Prix!B$6:B$127,Prix!$H$6:$H$127),IF($F$1=1.3%,LOOKUP($A46,Prix!B$6:B$127,Prix!$I$6:$I$127),LOOKUP($A46,Prix!B$6:B$127,Prix!$J$6:$J$127))))</f>
        <v>6.4350064350064962E-3</v>
      </c>
      <c r="C46" s="7">
        <f t="shared" si="0"/>
        <v>0.74190776281867665</v>
      </c>
      <c r="D46" s="56">
        <f>IF($F$1=1.8%,LOOKUP($A46,SMPT!$B$6:$B$127,SMPT!$C$6:$C$127),IF($F$1=1.5%,LOOKUP($A46,SMPT!$B$6:$B$127,SMPT!$D$6:$D$127),IF($F$1=1.3%,LOOKUP($A46,SMPT!$B$6:$B$127,SMPT!$E$6:$E$127),LOOKUP($A46,SMPT!$B$6:$B$127,SMPT!$F$6:$F$127))))</f>
        <v>24424.078409823818</v>
      </c>
      <c r="E46" s="58">
        <f t="shared" si="3"/>
        <v>2.2077079913713549E-2</v>
      </c>
      <c r="F46" s="56">
        <f>IF($F$1=1.8%,LOOKUP($A46,SMIC!$B$6:$B$125,SMIC!$C$6:$C$125),IF($F$1=1.5%,LOOKUP($A46,SMIC!$B$6:$B$125,SMIC!$D$6:$D$125),IF($F$1=1.3%,LOOKUP($A46,SMIC!$B$6:$B$125,SMIC!$E$6:$E$125),LOOKUP($A46,SMIC!$B$6:$B$125,SMIC!$F$6:$F$125))))</f>
        <v>12313.563854764032</v>
      </c>
      <c r="G46" s="153">
        <f t="shared" si="1"/>
        <v>0.66497995945306854</v>
      </c>
      <c r="H46" s="357">
        <f t="shared" si="4"/>
        <v>2.6967930029154541E-2</v>
      </c>
      <c r="I46" s="666">
        <v>1998</v>
      </c>
      <c r="J46" s="662"/>
      <c r="K46" s="668">
        <f t="shared" si="6"/>
        <v>0.16449999999999998</v>
      </c>
      <c r="L46" s="668">
        <v>9.799999999999999E-2</v>
      </c>
      <c r="M46" s="668">
        <v>6.6500000000000004E-2</v>
      </c>
      <c r="N46" s="668">
        <f t="shared" si="7"/>
        <v>1.7000000000000001E-2</v>
      </c>
      <c r="O46" s="668">
        <f>IF(Simulation!$D$43="Oui",$Q46,0)</f>
        <v>1.6E-2</v>
      </c>
      <c r="P46" s="668">
        <f>IF(Simulation!$D$43="Oui",$R46,0)</f>
        <v>1E-3</v>
      </c>
      <c r="Q46" s="677">
        <v>1.6E-2</v>
      </c>
      <c r="R46" s="677">
        <v>1E-3</v>
      </c>
      <c r="S46" s="56">
        <f>IF($F$1=1.8%,LOOKUP($A46,Sal_valid!$B$6:$B$127,Sal_valid!$C$6:$C$127),IF($F$1=1.5%,LOOKUP($A46,Sal_valid!$B$6:$B$127,Sal_valid!$D$6:$D$127),IF($F$1=1.3%,LOOKUP($A46,Sal_valid!$B$6:$B$127,Sal_valid!$E$6:$E$127),LOOKUP($A46,Sal_valid!$B$6:$B$127,Sal_valid!$F$6:$F$127))))</f>
        <v>1202.2129499342182</v>
      </c>
      <c r="T46" s="73">
        <f>Revalo_RB!$D58</f>
        <v>1.1583011583011782E-2</v>
      </c>
      <c r="U46" s="73">
        <f>Revalo_RB!$H58</f>
        <v>1.2987405358916293E-2</v>
      </c>
      <c r="V46" s="56">
        <f>IF($F$1=1.8%,LOOKUP($A46,PSS!$B$6:$B$127,PSS!$C$6:$C$127),IF($F$1=1.5%,LOOKUP($A46,PSS!$B$6:$B$127,PSS!$D$6:$D$127),IF($F$1=1.3%,LOOKUP($A46,PSS!$B$6:$B$127,PSS!$E$6:$E$127),LOOKUP($A46,PSS!$B$6:$B$127,PSS!$F$6:$F$127))))</f>
        <v>25776.079834501346</v>
      </c>
      <c r="W46" s="56">
        <f>IF($F$1=1.8%,LOOKUP($A46,Smic_AVPF!$B$6:$B$104,Smic_AVPF!$C$6:$C$104),IF($F$1=1.5%,LOOKUP($A46,Smic_AVPF!$B$6:$B$104,Smic_AVPF!$D$6:$D$104),IF($F$1=1.3%,LOOKUP($A46,Smic_AVPF!$B$6:$B$104,Smic_AVPF!$E$6:$E$104),LOOKUP($A46,Smic_AVPF!$B$6:$B$104,Smic_AVPF!$F$6:$F$104))))</f>
        <v>12190.439312332972</v>
      </c>
      <c r="X46" s="56">
        <v>5223.9643757136519</v>
      </c>
      <c r="Y46" s="56"/>
      <c r="Z46" s="56"/>
      <c r="AA46" s="337"/>
      <c r="AB46" s="666">
        <v>1998</v>
      </c>
      <c r="AC46" s="672">
        <v>5.5000000000000007E-2</v>
      </c>
      <c r="AD46" s="673">
        <v>3.3000000000000002E-2</v>
      </c>
      <c r="AE46" s="673">
        <v>2.2000000000000002E-2</v>
      </c>
      <c r="AF46" s="668">
        <v>0.15</v>
      </c>
      <c r="AG46" s="668">
        <v>9.5000000000000001E-2</v>
      </c>
      <c r="AH46" s="668">
        <v>5.5E-2</v>
      </c>
      <c r="AI46" s="337"/>
      <c r="AJ46" s="667">
        <v>1.25</v>
      </c>
      <c r="AK46" s="667">
        <v>1.25</v>
      </c>
      <c r="AL46" s="673">
        <f t="shared" ref="AL46:AL64" si="13">AM46+AN46</f>
        <v>1.4000000000000002E-3</v>
      </c>
      <c r="AM46" s="673">
        <f>IF(Simulation!$D$42="Oui",Barèmes!$AO46,0)</f>
        <v>9.0000000000000008E-4</v>
      </c>
      <c r="AN46" s="673">
        <f>IF(Simulation!$D$42="Oui",Barèmes!$AP46,0)</f>
        <v>5.0000000000000001E-4</v>
      </c>
      <c r="AO46" s="677">
        <v>9.0000000000000008E-4</v>
      </c>
      <c r="AP46" s="677">
        <v>5.0000000000000001E-4</v>
      </c>
      <c r="AQ46" s="668">
        <f t="shared" si="8"/>
        <v>1.9599999999999999E-2</v>
      </c>
      <c r="AR46" s="668">
        <f>IF(Simulation!$D$42="Oui",Barèmes!$AT46,0)</f>
        <v>1.1599999999999999E-2</v>
      </c>
      <c r="AS46" s="668">
        <f>IF(Simulation!$D$42="Oui",Barèmes!$AU46,0)</f>
        <v>8.0000000000000002E-3</v>
      </c>
      <c r="AT46" s="678">
        <v>1.1599999999999999E-2</v>
      </c>
      <c r="AU46" s="678">
        <v>8.0000000000000002E-3</v>
      </c>
      <c r="AV46" s="668">
        <f t="shared" si="9"/>
        <v>2.18E-2</v>
      </c>
      <c r="AW46" s="668">
        <f>IF(Simulation!$D$42="Oui",Barèmes!$AY46,0)</f>
        <v>1.29E-2</v>
      </c>
      <c r="AX46" s="668">
        <f>IF(Simulation!$D$42="Oui",Barèmes!$AZ46,0)</f>
        <v>8.8999999999999999E-3</v>
      </c>
      <c r="AY46" s="678">
        <v>1.29E-2</v>
      </c>
      <c r="AZ46" s="678">
        <v>8.8999999999999999E-3</v>
      </c>
      <c r="BA46" s="663"/>
      <c r="BB46" s="686">
        <v>3.5215700000000001</v>
      </c>
      <c r="BC46" s="683">
        <v>10.382921441496928</v>
      </c>
      <c r="BD46" s="664"/>
      <c r="BE46" s="687">
        <v>0.35813299999999998</v>
      </c>
      <c r="BF46" s="687">
        <v>0.99035455067938905</v>
      </c>
      <c r="BG46" s="664"/>
      <c r="BH46" s="687">
        <v>0.3581332312941245</v>
      </c>
      <c r="BI46" s="687">
        <v>0.9971278597603247</v>
      </c>
      <c r="BJ46" s="661"/>
      <c r="BK46" s="366"/>
      <c r="BL46" s="666">
        <v>1998</v>
      </c>
      <c r="BM46" s="13">
        <v>61</v>
      </c>
      <c r="BN46" s="661"/>
      <c r="BO46" s="79"/>
      <c r="BP46" s="79"/>
      <c r="BQ46" s="146">
        <v>0</v>
      </c>
      <c r="BR46" s="668">
        <v>4.2999999999999997E-2</v>
      </c>
      <c r="BS46" s="668"/>
      <c r="BT46" s="668">
        <v>6.7000000000000004E-2</v>
      </c>
      <c r="BU46" s="366"/>
      <c r="BV46" s="666">
        <v>1998</v>
      </c>
      <c r="BW46" s="660"/>
      <c r="BX46" s="661"/>
      <c r="BY46" s="79"/>
      <c r="BZ46" s="79"/>
      <c r="CA46" s="6">
        <f t="shared" si="10"/>
        <v>0</v>
      </c>
      <c r="CB46" s="6">
        <f t="shared" si="12"/>
        <v>4.2999999999999997E-2</v>
      </c>
      <c r="CC46" s="6"/>
      <c r="CD46" s="6">
        <f t="shared" si="11"/>
        <v>6.7000000000000004E-2</v>
      </c>
      <c r="CE46" s="690">
        <v>2.9000000000000005E-2</v>
      </c>
      <c r="CG46" s="666">
        <v>1998</v>
      </c>
      <c r="CH46" s="691">
        <v>7.4999999999999997E-2</v>
      </c>
      <c r="CI46" s="692">
        <v>5.0999999999999997E-2</v>
      </c>
      <c r="CJ46" s="313">
        <v>5.0000000000000001E-3</v>
      </c>
      <c r="CK46" s="320">
        <v>0.95</v>
      </c>
      <c r="CL46" s="697">
        <v>7.4999999999999997E-3</v>
      </c>
      <c r="CM46" s="673">
        <v>3.0099999999999998E-2</v>
      </c>
      <c r="CN46" s="673">
        <v>3.6000000000000004E-2</v>
      </c>
      <c r="CO46" s="674">
        <v>2.4000000000000001E-4</v>
      </c>
    </row>
    <row r="47" spans="1:93" s="361" customFormat="1" hidden="1" x14ac:dyDescent="0.25">
      <c r="A47" s="666">
        <v>1999</v>
      </c>
      <c r="B47" s="54">
        <f>IF($F$1=1.8%,LOOKUP($A47,Prix!B$6:B$127,Prix!$G$6:$G$127),IF($F$1=1.5%,LOOKUP($A47,Prix!B$6:B$127,Prix!$H$6:$H$127),IF($F$1=1.3%,LOOKUP($A47,Prix!B$6:B$127,Prix!$I$6:$I$127),LOOKUP($A47,Prix!B$6:B$127,Prix!$J$6:$J$127))))</f>
        <v>5.1150895140663621E-3</v>
      </c>
      <c r="C47" s="7">
        <f t="shared" si="0"/>
        <v>0.74668194404659616</v>
      </c>
      <c r="D47" s="56">
        <f>IF($F$1=1.8%,LOOKUP($A47,SMPT!$B$6:$B$127,SMPT!$C$6:$C$127),IF($F$1=1.5%,LOOKUP($A47,SMPT!$B$6:$B$127,SMPT!$D$6:$D$127),IF($F$1=1.3%,LOOKUP($A47,SMPT!$B$6:$B$127,SMPT!$E$6:$E$127),LOOKUP($A47,SMPT!$B$6:$B$127,SMPT!$F$6:$F$127))))</f>
        <v>25013.374847956955</v>
      </c>
      <c r="E47" s="58">
        <f t="shared" si="3"/>
        <v>2.4127683683496048E-2</v>
      </c>
      <c r="F47" s="56">
        <f>IF($F$1=1.8%,LOOKUP($A47,SMIC!$B$6:$B$125,SMIC!$C$6:$C$125),IF($F$1=1.5%,LOOKUP($A47,SMIC!$B$6:$B$125,SMIC!$D$6:$D$125),IF($F$1=1.3%,LOOKUP($A47,SMIC!$B$6:$B$125,SMIC!$E$6:$E$125),LOOKUP($A47,SMIC!$B$6:$B$125,SMIC!$F$6:$F$125))))</f>
        <v>12512.607857418654</v>
      </c>
      <c r="G47" s="153">
        <f t="shared" si="1"/>
        <v>0.68102438557061629</v>
      </c>
      <c r="H47" s="357">
        <f t="shared" si="4"/>
        <v>2.6969481902058279E-2</v>
      </c>
      <c r="I47" s="666">
        <v>1999</v>
      </c>
      <c r="J47" s="662"/>
      <c r="K47" s="668">
        <f t="shared" si="6"/>
        <v>0.16449999999999998</v>
      </c>
      <c r="L47" s="668">
        <v>9.799999999999999E-2</v>
      </c>
      <c r="M47" s="668">
        <v>6.6500000000000004E-2</v>
      </c>
      <c r="N47" s="668">
        <f t="shared" si="7"/>
        <v>1.7000000000000001E-2</v>
      </c>
      <c r="O47" s="668">
        <f>IF(Simulation!$D$43="Oui",$Q47,0)</f>
        <v>1.6E-2</v>
      </c>
      <c r="P47" s="668">
        <f>IF(Simulation!$D$43="Oui",$R47,0)</f>
        <v>1E-3</v>
      </c>
      <c r="Q47" s="677">
        <v>1.6E-2</v>
      </c>
      <c r="R47" s="677">
        <v>1E-3</v>
      </c>
      <c r="S47" s="56">
        <f>IF($F$1=1.8%,LOOKUP($A47,Sal_valid!$B$6:$B$127,Sal_valid!$C$6:$C$127),IF($F$1=1.5%,LOOKUP($A47,Sal_valid!$B$6:$B$127,Sal_valid!$D$6:$D$127),IF($F$1=1.3%,LOOKUP($A47,Sal_valid!$B$6:$B$127,Sal_valid!$E$6:$E$127),LOOKUP($A47,Sal_valid!$B$6:$B$127,Sal_valid!$F$6:$F$127))))</f>
        <v>1226.2998946577291</v>
      </c>
      <c r="T47" s="73">
        <f>Revalo_RB!$D59</f>
        <v>5.4347826086955653E-3</v>
      </c>
      <c r="U47" s="73">
        <f>Revalo_RB!$H59</f>
        <v>1.3003823601343445E-2</v>
      </c>
      <c r="V47" s="56">
        <f>IF($F$1=1.8%,LOOKUP($A47,PSS!$B$6:$B$127,PSS!$C$6:$C$127),IF($F$1=1.5%,LOOKUP($A47,PSS!$B$6:$B$127,PSS!$D$6:$D$127),IF($F$1=1.3%,LOOKUP($A47,PSS!$B$6:$B$127,PSS!$E$6:$E$127),LOOKUP($A47,PSS!$B$6:$B$127,PSS!$F$6:$F$127))))</f>
        <v>26471.24735310394</v>
      </c>
      <c r="W47" s="56">
        <f>IF($F$1=1.8%,LOOKUP($A47,Smic_AVPF!$B$6:$B$104,Smic_AVPF!$C$6:$C$104),IF($F$1=1.5%,LOOKUP($A47,Smic_AVPF!$B$6:$B$104,Smic_AVPF!$D$6:$D$104),IF($F$1=1.3%,LOOKUP($A47,Smic_AVPF!$B$6:$B$104,Smic_AVPF!$E$6:$E$104),LOOKUP($A47,Smic_AVPF!$B$6:$B$104,Smic_AVPF!$F$6:$F$104))))</f>
        <v>12434.680931829374</v>
      </c>
      <c r="X47" s="56">
        <v>5265.7552248089432</v>
      </c>
      <c r="Y47" s="56"/>
      <c r="Z47" s="56"/>
      <c r="AA47" s="337"/>
      <c r="AB47" s="666">
        <v>1999</v>
      </c>
      <c r="AC47" s="672">
        <v>0.06</v>
      </c>
      <c r="AD47" s="673">
        <v>3.5999999999999997E-2</v>
      </c>
      <c r="AE47" s="673">
        <v>2.4000000000000004E-2</v>
      </c>
      <c r="AF47" s="668">
        <v>0.16</v>
      </c>
      <c r="AG47" s="668">
        <v>0.1</v>
      </c>
      <c r="AH47" s="668">
        <v>0.06</v>
      </c>
      <c r="AI47" s="337"/>
      <c r="AJ47" s="667">
        <v>1.25</v>
      </c>
      <c r="AK47" s="667">
        <v>1.25</v>
      </c>
      <c r="AL47" s="673">
        <f t="shared" si="13"/>
        <v>2.0999999999999999E-3</v>
      </c>
      <c r="AM47" s="673">
        <f>IF(Simulation!$D$42="Oui",Barèmes!$AO47,0)</f>
        <v>1.2999999999999999E-3</v>
      </c>
      <c r="AN47" s="673">
        <f>IF(Simulation!$D$42="Oui",Barèmes!$AP47,0)</f>
        <v>8.0000000000000004E-4</v>
      </c>
      <c r="AO47" s="677">
        <v>1.2999999999999999E-3</v>
      </c>
      <c r="AP47" s="677">
        <v>8.0000000000000004E-4</v>
      </c>
      <c r="AQ47" s="668">
        <f t="shared" si="8"/>
        <v>1.9599999999999999E-2</v>
      </c>
      <c r="AR47" s="668">
        <f>IF(Simulation!$D$42="Oui",Barèmes!$AT47,0)</f>
        <v>1.1599999999999999E-2</v>
      </c>
      <c r="AS47" s="668">
        <f>IF(Simulation!$D$42="Oui",Barèmes!$AU47,0)</f>
        <v>8.0000000000000002E-3</v>
      </c>
      <c r="AT47" s="678">
        <v>1.1599999999999999E-2</v>
      </c>
      <c r="AU47" s="678">
        <v>8.0000000000000002E-3</v>
      </c>
      <c r="AV47" s="668">
        <f t="shared" si="9"/>
        <v>2.18E-2</v>
      </c>
      <c r="AW47" s="668">
        <f>IF(Simulation!$D$42="Oui",Barèmes!$AY47,0)</f>
        <v>1.29E-2</v>
      </c>
      <c r="AX47" s="668">
        <f>IF(Simulation!$D$42="Oui",Barèmes!$AZ47,0)</f>
        <v>8.8999999999999999E-3</v>
      </c>
      <c r="AY47" s="678">
        <v>1.29E-2</v>
      </c>
      <c r="AZ47" s="678">
        <v>8.8999999999999999E-3</v>
      </c>
      <c r="BA47" s="663"/>
      <c r="BB47" s="686">
        <v>3.76397</v>
      </c>
      <c r="BC47" s="683">
        <v>10.953980215166542</v>
      </c>
      <c r="BD47" s="664"/>
      <c r="BE47" s="687">
        <v>0.359566</v>
      </c>
      <c r="BF47" s="687">
        <v>1</v>
      </c>
      <c r="BG47" s="664"/>
      <c r="BH47" s="687">
        <v>0.35956625205615611</v>
      </c>
      <c r="BI47" s="687">
        <v>1.0067999999999999</v>
      </c>
      <c r="BJ47" s="661"/>
      <c r="BK47" s="366"/>
      <c r="BL47" s="666">
        <v>1999</v>
      </c>
      <c r="BM47" s="13">
        <v>61</v>
      </c>
      <c r="BN47" s="661"/>
      <c r="BO47" s="79"/>
      <c r="BP47" s="79"/>
      <c r="BQ47" s="146">
        <v>0</v>
      </c>
      <c r="BR47" s="668">
        <v>4.2999999999999997E-2</v>
      </c>
      <c r="BS47" s="668"/>
      <c r="BT47" s="668">
        <v>6.7000000000000004E-2</v>
      </c>
      <c r="BU47" s="366"/>
      <c r="BV47" s="666">
        <v>1999</v>
      </c>
      <c r="BW47" s="660"/>
      <c r="BX47" s="661"/>
      <c r="BY47" s="79"/>
      <c r="BZ47" s="79"/>
      <c r="CA47" s="6">
        <f t="shared" si="10"/>
        <v>0</v>
      </c>
      <c r="CB47" s="6">
        <f t="shared" si="12"/>
        <v>4.2999999999999997E-2</v>
      </c>
      <c r="CC47" s="6"/>
      <c r="CD47" s="6">
        <f t="shared" si="11"/>
        <v>6.7000000000000004E-2</v>
      </c>
      <c r="CE47" s="690">
        <v>2.9000000000000005E-2</v>
      </c>
      <c r="CG47" s="666">
        <v>1999</v>
      </c>
      <c r="CH47" s="691">
        <v>7.4999999999999997E-2</v>
      </c>
      <c r="CI47" s="692">
        <v>5.0999999999999997E-2</v>
      </c>
      <c r="CJ47" s="313">
        <v>5.0000000000000001E-3</v>
      </c>
      <c r="CK47" s="320">
        <v>0.95</v>
      </c>
      <c r="CL47" s="697">
        <v>7.4999999999999997E-3</v>
      </c>
      <c r="CM47" s="673">
        <v>3.0099999999999998E-2</v>
      </c>
      <c r="CN47" s="673">
        <v>3.6000000000000004E-2</v>
      </c>
      <c r="CO47" s="674">
        <v>2.4000000000000001E-4</v>
      </c>
    </row>
    <row r="48" spans="1:93" s="361" customFormat="1" hidden="1" x14ac:dyDescent="0.25">
      <c r="A48" s="666">
        <v>2000</v>
      </c>
      <c r="B48" s="54">
        <f>IF($F$1=1.8%,LOOKUP($A48,Prix!B$6:B$127,Prix!$G$6:$G$127),IF($F$1=1.5%,LOOKUP($A48,Prix!B$6:B$127,Prix!$H$6:$H$127),IF($F$1=1.3%,LOOKUP($A48,Prix!B$6:B$127,Prix!$I$6:$I$127),LOOKUP($A48,Prix!B$6:B$127,Prix!$J$6:$J$127))))</f>
        <v>1.6539440203562572E-2</v>
      </c>
      <c r="C48" s="7">
        <f t="shared" si="0"/>
        <v>0.75050128902893154</v>
      </c>
      <c r="D48" s="56">
        <f>IF($F$1=1.8%,LOOKUP($A48,SMPT!$B$6:$B$127,SMPT!$C$6:$C$127),IF($F$1=1.5%,LOOKUP($A48,SMPT!$B$6:$B$127,SMPT!$D$6:$D$127),IF($F$1=1.3%,LOOKUP($A48,SMPT!$B$6:$B$127,SMPT!$E$6:$E$127),LOOKUP($A48,SMPT!$B$6:$B$127,SMPT!$F$6:$F$127))))</f>
        <v>25877.215841041289</v>
      </c>
      <c r="E48" s="58">
        <f t="shared" si="3"/>
        <v>3.4535163620869502E-2</v>
      </c>
      <c r="F48" s="56">
        <f>IF($F$1=1.8%,LOOKUP($A48,SMIC!$B$6:$B$125,SMIC!$C$6:$C$125),IF($F$1=1.5%,LOOKUP($A48,SMIC!$B$6:$B$125,SMIC!$D$6:$D$125),IF($F$1=1.3%,LOOKUP($A48,SMIC!$B$6:$B$125,SMIC!$E$6:$E$125),LOOKUP($A48,SMIC!$B$6:$B$125,SMIC!$F$6:$F$125))))</f>
        <v>12791.320662587415</v>
      </c>
      <c r="G48" s="153">
        <f t="shared" si="1"/>
        <v>0.70454367415609964</v>
      </c>
      <c r="H48" s="357">
        <f t="shared" si="4"/>
        <v>1.5894955079474693E-2</v>
      </c>
      <c r="I48" s="666">
        <v>2000</v>
      </c>
      <c r="J48" s="662"/>
      <c r="K48" s="668">
        <f t="shared" si="6"/>
        <v>0.16449999999999998</v>
      </c>
      <c r="L48" s="668">
        <v>9.799999999999999E-2</v>
      </c>
      <c r="M48" s="668">
        <v>6.6500000000000004E-2</v>
      </c>
      <c r="N48" s="668">
        <f t="shared" si="7"/>
        <v>1.7000000000000001E-2</v>
      </c>
      <c r="O48" s="668">
        <f>IF(Simulation!$D$43="Oui",$Q48,0)</f>
        <v>1.6E-2</v>
      </c>
      <c r="P48" s="668">
        <f>IF(Simulation!$D$43="Oui",$R48,0)</f>
        <v>1E-3</v>
      </c>
      <c r="Q48" s="677">
        <v>1.6E-2</v>
      </c>
      <c r="R48" s="677">
        <v>1E-3</v>
      </c>
      <c r="S48" s="56">
        <f>IF($F$1=1.8%,LOOKUP($A48,Sal_valid!$B$6:$B$127,Sal_valid!$C$6:$C$127),IF($F$1=1.5%,LOOKUP($A48,Sal_valid!$B$6:$B$127,Sal_valid!$D$6:$D$127),IF($F$1=1.3%,LOOKUP($A48,Sal_valid!$B$6:$B$127,Sal_valid!$E$6:$E$127),LOOKUP($A48,Sal_valid!$B$6:$B$127,Sal_valid!$F$6:$F$127))))</f>
        <v>1241.5447963814702</v>
      </c>
      <c r="T48" s="73">
        <f>Revalo_RB!$D60</f>
        <v>1.9794140934283666E-2</v>
      </c>
      <c r="U48" s="73">
        <f>Revalo_RB!$H60</f>
        <v>4.9973599963883952E-3</v>
      </c>
      <c r="V48" s="56">
        <f>IF($F$1=1.8%,LOOKUP($A48,PSS!$B$6:$B$127,PSS!$C$6:$C$127),IF($F$1=1.5%,LOOKUP($A48,PSS!$B$6:$B$127,PSS!$D$6:$D$127),IF($F$1=1.3%,LOOKUP($A48,PSS!$B$6:$B$127,PSS!$E$6:$E$127),LOOKUP($A48,PSS!$B$6:$B$127,PSS!$F$6:$F$127))))</f>
        <v>26892.006640679192</v>
      </c>
      <c r="W48" s="56">
        <f>IF($F$1=1.8%,LOOKUP($A48,Smic_AVPF!$B$6:$B$104,Smic_AVPF!$C$6:$C$104),IF($F$1=1.5%,LOOKUP($A48,Smic_AVPF!$B$6:$B$104,Smic_AVPF!$D$6:$D$104),IF($F$1=1.3%,LOOKUP($A48,Smic_AVPF!$B$6:$B$104,Smic_AVPF!$E$6:$E$104),LOOKUP($A48,Smic_AVPF!$B$6:$B$104,Smic_AVPF!$F$6:$F$104))))</f>
        <v>12589.264235308108</v>
      </c>
      <c r="X48" s="56">
        <v>5318.412639852917</v>
      </c>
      <c r="Y48" s="56"/>
      <c r="Z48" s="56"/>
      <c r="AA48" s="337"/>
      <c r="AB48" s="666">
        <v>2000</v>
      </c>
      <c r="AC48" s="672">
        <v>0.06</v>
      </c>
      <c r="AD48" s="673">
        <v>3.5999999999999997E-2</v>
      </c>
      <c r="AE48" s="673">
        <v>2.4000000000000004E-2</v>
      </c>
      <c r="AF48" s="668">
        <v>0.16</v>
      </c>
      <c r="AG48" s="668">
        <v>0.1</v>
      </c>
      <c r="AH48" s="668">
        <v>0.06</v>
      </c>
      <c r="AI48" s="337"/>
      <c r="AJ48" s="667">
        <v>1.25</v>
      </c>
      <c r="AK48" s="667">
        <v>1.25</v>
      </c>
      <c r="AL48" s="673">
        <f t="shared" si="13"/>
        <v>2.8000000000000004E-3</v>
      </c>
      <c r="AM48" s="673">
        <f>IF(Simulation!$D$42="Oui",Barèmes!$AO48,0)</f>
        <v>1.7000000000000003E-3</v>
      </c>
      <c r="AN48" s="673">
        <f>IF(Simulation!$D$42="Oui",Barèmes!$AP48,0)</f>
        <v>1.1000000000000001E-3</v>
      </c>
      <c r="AO48" s="677">
        <v>1.7000000000000003E-3</v>
      </c>
      <c r="AP48" s="677">
        <v>1.1000000000000001E-3</v>
      </c>
      <c r="AQ48" s="668">
        <f t="shared" si="8"/>
        <v>1.9599999999999999E-2</v>
      </c>
      <c r="AR48" s="668">
        <f>IF(Simulation!$D$42="Oui",Barèmes!$AT48,0)</f>
        <v>1.1599999999999999E-2</v>
      </c>
      <c r="AS48" s="668">
        <f>IF(Simulation!$D$42="Oui",Barèmes!$AU48,0)</f>
        <v>8.0000000000000002E-3</v>
      </c>
      <c r="AT48" s="678">
        <v>1.1599999999999999E-2</v>
      </c>
      <c r="AU48" s="678">
        <v>8.0000000000000002E-3</v>
      </c>
      <c r="AV48" s="668">
        <f t="shared" si="9"/>
        <v>2.18E-2</v>
      </c>
      <c r="AW48" s="668">
        <f>IF(Simulation!$D$42="Oui",Barèmes!$AY48,0)</f>
        <v>1.29E-2</v>
      </c>
      <c r="AX48" s="668">
        <f>IF(Simulation!$D$42="Oui",Barèmes!$AZ48,0)</f>
        <v>8.8999999999999999E-3</v>
      </c>
      <c r="AY48" s="678">
        <v>1.29E-2</v>
      </c>
      <c r="AZ48" s="678">
        <v>8.8999999999999999E-3</v>
      </c>
      <c r="BA48" s="663"/>
      <c r="BB48" s="686">
        <v>4.0231300000000001</v>
      </c>
      <c r="BC48" s="683">
        <v>11.53453656261005</v>
      </c>
      <c r="BD48" s="664"/>
      <c r="BE48" s="687">
        <v>0.359566</v>
      </c>
      <c r="BF48" s="687">
        <v>1.0089990654875243</v>
      </c>
      <c r="BG48" s="664"/>
      <c r="BH48" s="687">
        <v>0.35956625205615611</v>
      </c>
      <c r="BI48" s="687">
        <v>1.0150999999999999</v>
      </c>
      <c r="BJ48" s="661"/>
      <c r="BK48" s="366"/>
      <c r="BL48" s="666">
        <v>2000</v>
      </c>
      <c r="BM48" s="13">
        <v>61</v>
      </c>
      <c r="BN48" s="661"/>
      <c r="BO48" s="79"/>
      <c r="BP48" s="79"/>
      <c r="BQ48" s="146">
        <v>0</v>
      </c>
      <c r="BR48" s="668">
        <v>4.2999999999999997E-2</v>
      </c>
      <c r="BS48" s="668"/>
      <c r="BT48" s="668">
        <v>6.7000000000000004E-2</v>
      </c>
      <c r="BU48" s="366"/>
      <c r="BV48" s="666">
        <v>2000</v>
      </c>
      <c r="BW48" s="660"/>
      <c r="BX48" s="661"/>
      <c r="BY48" s="79"/>
      <c r="BZ48" s="79"/>
      <c r="CA48" s="6">
        <f t="shared" si="10"/>
        <v>0</v>
      </c>
      <c r="CB48" s="6">
        <f t="shared" si="12"/>
        <v>4.2999999999999997E-2</v>
      </c>
      <c r="CC48" s="6"/>
      <c r="CD48" s="6">
        <f t="shared" si="11"/>
        <v>6.7000000000000004E-2</v>
      </c>
      <c r="CE48" s="690">
        <v>2.9000000000000005E-2</v>
      </c>
      <c r="CG48" s="666">
        <v>2000</v>
      </c>
      <c r="CH48" s="691">
        <v>7.4999999999999997E-2</v>
      </c>
      <c r="CI48" s="692">
        <v>5.0999999999999997E-2</v>
      </c>
      <c r="CJ48" s="313">
        <v>5.0000000000000001E-3</v>
      </c>
      <c r="CK48" s="320">
        <v>0.95</v>
      </c>
      <c r="CL48" s="697">
        <v>7.4999999999999997E-3</v>
      </c>
      <c r="CM48" s="673">
        <v>3.0099999999999998E-2</v>
      </c>
      <c r="CN48" s="673">
        <v>3.6000000000000004E-2</v>
      </c>
      <c r="CO48" s="674">
        <v>2.4000000000000001E-4</v>
      </c>
    </row>
    <row r="49" spans="1:93" s="361" customFormat="1" hidden="1" x14ac:dyDescent="0.25">
      <c r="A49" s="666">
        <v>2001</v>
      </c>
      <c r="B49" s="54">
        <f>IF($F$1=1.8%,LOOKUP($A49,Prix!B$6:B$127,Prix!$G$6:$G$127),IF($F$1=1.5%,LOOKUP($A49,Prix!B$6:B$127,Prix!$H$6:$H$127),IF($F$1=1.3%,LOOKUP($A49,Prix!B$6:B$127,Prix!$I$6:$I$127),LOOKUP($A49,Prix!B$6:B$127,Prix!$J$6:$J$127))))</f>
        <v>1.6270337922402955E-2</v>
      </c>
      <c r="C49" s="7">
        <f t="shared" si="0"/>
        <v>0.76291416022152214</v>
      </c>
      <c r="D49" s="56">
        <f>IF($F$1=1.8%,LOOKUP($A49,SMPT!$B$6:$B$127,SMPT!$C$6:$C$127),IF($F$1=1.5%,LOOKUP($A49,SMPT!$B$6:$B$127,SMPT!$D$6:$D$127),IF($F$1=1.3%,LOOKUP($A49,SMPT!$B$6:$B$127,SMPT!$E$6:$E$127),LOOKUP($A49,SMPT!$B$6:$B$127,SMPT!$F$6:$F$127))))</f>
        <v>26787.88814061863</v>
      </c>
      <c r="E49" s="58">
        <f t="shared" si="3"/>
        <v>3.5192050998508639E-2</v>
      </c>
      <c r="F49" s="56">
        <f>IF($F$1=1.8%,LOOKUP($A49,SMIC!$B$6:$B$125,SMIC!$C$6:$C$125),IF($F$1=1.5%,LOOKUP($A49,SMIC!$B$6:$B$125,SMIC!$D$6:$D$125),IF($F$1=1.3%,LOOKUP($A49,SMIC!$B$6:$B$125,SMIC!$E$6:$E$125),LOOKUP($A49,SMIC!$B$6:$B$125,SMIC!$F$6:$F$125))))</f>
        <v>13256.132371356369</v>
      </c>
      <c r="G49" s="153">
        <f t="shared" si="1"/>
        <v>0.72933801106767771</v>
      </c>
      <c r="H49" s="357">
        <f t="shared" si="4"/>
        <v>1.7006802721088343E-2</v>
      </c>
      <c r="I49" s="666">
        <v>2001</v>
      </c>
      <c r="J49" s="662"/>
      <c r="K49" s="668">
        <f t="shared" si="6"/>
        <v>0.16449999999999998</v>
      </c>
      <c r="L49" s="668">
        <v>9.799999999999999E-2</v>
      </c>
      <c r="M49" s="668">
        <v>6.6500000000000004E-2</v>
      </c>
      <c r="N49" s="668">
        <f t="shared" si="7"/>
        <v>1.7000000000000001E-2</v>
      </c>
      <c r="O49" s="668">
        <f>IF(Simulation!$D$43="Oui",$Q49,0)</f>
        <v>1.6E-2</v>
      </c>
      <c r="P49" s="668">
        <f>IF(Simulation!$D$43="Oui",$R49,0)</f>
        <v>1E-3</v>
      </c>
      <c r="Q49" s="677">
        <v>1.6E-2</v>
      </c>
      <c r="R49" s="677">
        <v>1E-3</v>
      </c>
      <c r="S49" s="56">
        <f>IF($F$1=1.8%,LOOKUP($A49,Sal_valid!$B$6:$B$127,Sal_valid!$C$6:$C$127),IF($F$1=1.5%,LOOKUP($A49,Sal_valid!$B$6:$B$127,Sal_valid!$D$6:$D$127),IF($F$1=1.3%,LOOKUP($A49,Sal_valid!$B$6:$B$127,Sal_valid!$E$6:$E$127),LOOKUP($A49,Sal_valid!$B$6:$B$127,Sal_valid!$F$6:$F$127))))</f>
        <v>1281.1815408631969</v>
      </c>
      <c r="T49" s="73">
        <f>Revalo_RB!$D61</f>
        <v>2.2672064777327749E-2</v>
      </c>
      <c r="U49" s="73">
        <f>Revalo_RB!$H61</f>
        <v>1.2030897532298912E-2</v>
      </c>
      <c r="V49" s="56">
        <f>IF($F$1=1.8%,LOOKUP($A49,PSS!$B$6:$B$127,PSS!$C$6:$C$127),IF($F$1=1.5%,LOOKUP($A49,PSS!$B$6:$B$127,PSS!$D$6:$D$127),IF($F$1=1.3%,LOOKUP($A49,PSS!$B$6:$B$127,PSS!$E$6:$E$127),LOOKUP($A49,PSS!$B$6:$B$127,PSS!$F$6:$F$127))))</f>
        <v>27349.353692391422</v>
      </c>
      <c r="W49" s="56">
        <f>IF($F$1=1.8%,LOOKUP($A49,Smic_AVPF!$B$6:$B$104,Smic_AVPF!$C$6:$C$104),IF($F$1=1.5%,LOOKUP($A49,Smic_AVPF!$B$6:$B$104,Smic_AVPF!$D$6:$D$104),IF($F$1=1.3%,LOOKUP($A49,Smic_AVPF!$B$6:$B$104,Smic_AVPF!$E$6:$E$104),LOOKUP($A49,Smic_AVPF!$B$6:$B$104,Smic_AVPF!$F$6:$F$104))))</f>
        <v>12991.180824352818</v>
      </c>
      <c r="X49" s="56">
        <v>5414.1430002271491</v>
      </c>
      <c r="Y49" s="56"/>
      <c r="Z49" s="56"/>
      <c r="AA49" s="337"/>
      <c r="AB49" s="666">
        <v>2001</v>
      </c>
      <c r="AC49" s="672">
        <v>0.06</v>
      </c>
      <c r="AD49" s="673">
        <v>3.5999999999999997E-2</v>
      </c>
      <c r="AE49" s="673">
        <v>2.4000000000000004E-2</v>
      </c>
      <c r="AF49" s="668">
        <v>0.16</v>
      </c>
      <c r="AG49" s="668">
        <v>0.1</v>
      </c>
      <c r="AH49" s="668">
        <v>0.06</v>
      </c>
      <c r="AI49" s="337"/>
      <c r="AJ49" s="667">
        <v>1.25</v>
      </c>
      <c r="AK49" s="667">
        <v>1.25</v>
      </c>
      <c r="AL49" s="673">
        <f t="shared" si="13"/>
        <v>3.4999999999999996E-3</v>
      </c>
      <c r="AM49" s="673">
        <f>IF(Simulation!$D$42="Oui",Barèmes!$AO49,0)</f>
        <v>2.1999999999999997E-3</v>
      </c>
      <c r="AN49" s="673">
        <f>IF(Simulation!$D$42="Oui",Barèmes!$AP49,0)</f>
        <v>1.2999999999999999E-3</v>
      </c>
      <c r="AO49" s="677">
        <v>2.1999999999999997E-3</v>
      </c>
      <c r="AP49" s="677">
        <v>1.2999999999999999E-3</v>
      </c>
      <c r="AQ49" s="668">
        <f t="shared" si="8"/>
        <v>0.02</v>
      </c>
      <c r="AR49" s="668">
        <f>IF(Simulation!$D$42="Oui",Barèmes!$AT49,0)</f>
        <v>1.2E-2</v>
      </c>
      <c r="AS49" s="668">
        <f>IF(Simulation!$D$42="Oui",Barèmes!$AU49,0)</f>
        <v>8.0000000000000002E-3</v>
      </c>
      <c r="AT49" s="678">
        <v>1.2E-2</v>
      </c>
      <c r="AU49" s="678">
        <v>8.0000000000000002E-3</v>
      </c>
      <c r="AV49" s="668">
        <f t="shared" si="9"/>
        <v>2.2000000000000002E-2</v>
      </c>
      <c r="AW49" s="668">
        <f>IF(Simulation!$D$42="Oui",Barèmes!$AY49,0)</f>
        <v>1.3000000000000001E-2</v>
      </c>
      <c r="AX49" s="668">
        <f>IF(Simulation!$D$42="Oui",Barèmes!$AZ49,0)</f>
        <v>9.0000000000000011E-3</v>
      </c>
      <c r="AY49" s="678">
        <v>1.3000000000000001E-2</v>
      </c>
      <c r="AZ49" s="678">
        <v>9.0000000000000011E-3</v>
      </c>
      <c r="BA49" s="663"/>
      <c r="BB49" s="686">
        <v>4.0841099999999999</v>
      </c>
      <c r="BC49" s="683">
        <v>11.707599999999999</v>
      </c>
      <c r="BD49" s="664"/>
      <c r="BE49" s="687">
        <v>0.359566</v>
      </c>
      <c r="BF49" s="687">
        <v>1.0170999999999999</v>
      </c>
      <c r="BG49" s="664"/>
      <c r="BH49" s="687">
        <v>0.36574043725427119</v>
      </c>
      <c r="BI49" s="687">
        <v>1.0316000000000001</v>
      </c>
      <c r="BJ49" s="661"/>
      <c r="BK49" s="366"/>
      <c r="BL49" s="666">
        <v>2001</v>
      </c>
      <c r="BM49" s="13">
        <v>61</v>
      </c>
      <c r="BN49" s="661"/>
      <c r="BO49" s="79"/>
      <c r="BP49" s="79"/>
      <c r="BQ49" s="146">
        <v>0</v>
      </c>
      <c r="BR49" s="668">
        <v>4.2999999999999997E-2</v>
      </c>
      <c r="BS49" s="668"/>
      <c r="BT49" s="668">
        <v>6.7000000000000004E-2</v>
      </c>
      <c r="BU49" s="366"/>
      <c r="BV49" s="666">
        <v>2001</v>
      </c>
      <c r="BW49" s="660"/>
      <c r="BX49" s="661"/>
      <c r="BY49" s="79"/>
      <c r="BZ49" s="79"/>
      <c r="CA49" s="6">
        <f t="shared" si="10"/>
        <v>0</v>
      </c>
      <c r="CB49" s="6">
        <f t="shared" si="12"/>
        <v>4.2999999999999997E-2</v>
      </c>
      <c r="CC49" s="6"/>
      <c r="CD49" s="6">
        <f t="shared" si="11"/>
        <v>6.7000000000000004E-2</v>
      </c>
      <c r="CE49" s="690">
        <v>2.9000000000000005E-2</v>
      </c>
      <c r="CG49" s="666">
        <v>2001</v>
      </c>
      <c r="CH49" s="691">
        <v>7.4999999999999997E-2</v>
      </c>
      <c r="CI49" s="692">
        <v>5.0999999999999997E-2</v>
      </c>
      <c r="CJ49" s="313">
        <v>5.0000000000000001E-3</v>
      </c>
      <c r="CK49" s="320">
        <v>0.95</v>
      </c>
      <c r="CL49" s="697">
        <v>7.4999999999999997E-3</v>
      </c>
      <c r="CM49" s="673">
        <v>2.3E-2</v>
      </c>
      <c r="CN49" s="673">
        <v>2.8199999999999999E-2</v>
      </c>
      <c r="CO49" s="674">
        <v>2.4000000000000001E-4</v>
      </c>
    </row>
    <row r="50" spans="1:93" s="361" customFormat="1" hidden="1" x14ac:dyDescent="0.25">
      <c r="A50" s="666">
        <v>2002</v>
      </c>
      <c r="B50" s="54">
        <f>IF($F$1=1.8%,LOOKUP($A50,Prix!B$6:B$127,Prix!$G$6:$G$127),IF($F$1=1.5%,LOOKUP($A50,Prix!B$6:B$127,Prix!$H$6:$H$127),IF($F$1=1.3%,LOOKUP($A50,Prix!B$6:B$127,Prix!$I$6:$I$127),LOOKUP($A50,Prix!B$6:B$127,Prix!$J$6:$J$127))))</f>
        <v>1.9704433497536922E-2</v>
      </c>
      <c r="C50" s="7">
        <f t="shared" si="0"/>
        <v>0.77532703141411252</v>
      </c>
      <c r="D50" s="56">
        <f>IF($F$1=1.8%,LOOKUP($A50,SMPT!$B$6:$B$127,SMPT!$C$6:$C$127),IF($F$1=1.5%,LOOKUP($A50,SMPT!$B$6:$B$127,SMPT!$D$6:$D$127),IF($F$1=1.3%,LOOKUP($A50,SMPT!$B$6:$B$127,SMPT!$E$6:$E$127),LOOKUP($A50,SMPT!$B$6:$B$127,SMPT!$F$6:$F$127))))</f>
        <v>27756.115006418513</v>
      </c>
      <c r="E50" s="58">
        <f t="shared" si="3"/>
        <v>3.61442029590886E-2</v>
      </c>
      <c r="F50" s="56">
        <f>IF($F$1=1.8%,LOOKUP($A50,SMIC!$B$6:$B$125,SMIC!$C$6:$C$125),IF($F$1=1.5%,LOOKUP($A50,SMIC!$B$6:$B$125,SMIC!$D$6:$D$125),IF($F$1=1.3%,LOOKUP($A50,SMIC!$B$6:$B$125,SMIC!$E$6:$E$125),LOOKUP($A50,SMIC!$B$6:$B$125,SMIC!$F$6:$F$125))))</f>
        <v>13690.333479452052</v>
      </c>
      <c r="G50" s="153">
        <f t="shared" si="1"/>
        <v>0.75569935216548589</v>
      </c>
      <c r="H50" s="357">
        <f t="shared" si="4"/>
        <v>3.1980511036789228E-2</v>
      </c>
      <c r="I50" s="666">
        <v>2002</v>
      </c>
      <c r="J50" s="662"/>
      <c r="K50" s="668">
        <f t="shared" si="6"/>
        <v>0.16449999999999998</v>
      </c>
      <c r="L50" s="668">
        <v>9.799999999999999E-2</v>
      </c>
      <c r="M50" s="668">
        <v>6.6500000000000004E-2</v>
      </c>
      <c r="N50" s="668">
        <f t="shared" si="7"/>
        <v>1.7000000000000001E-2</v>
      </c>
      <c r="O50" s="668">
        <f>IF(Simulation!$D$43="Oui",$Q50,0)</f>
        <v>1.6E-2</v>
      </c>
      <c r="P50" s="668">
        <f>IF(Simulation!$D$43="Oui",$R50,0)</f>
        <v>1E-3</v>
      </c>
      <c r="Q50" s="677">
        <v>1.6E-2</v>
      </c>
      <c r="R50" s="677">
        <v>1E-3</v>
      </c>
      <c r="S50" s="56">
        <f>IF($F$1=1.8%,LOOKUP($A50,Sal_valid!$B$6:$B$127,Sal_valid!$C$6:$C$127),IF($F$1=1.5%,LOOKUP($A50,Sal_valid!$B$6:$B$127,Sal_valid!$D$6:$D$127),IF($F$1=1.3%,LOOKUP($A50,Sal_valid!$B$6:$B$127,Sal_valid!$E$6:$E$127),LOOKUP($A50,Sal_valid!$B$6:$B$127,Sal_valid!$F$6:$F$127))))</f>
        <v>1334</v>
      </c>
      <c r="T50" s="73">
        <f>Revalo_RB!$D62</f>
        <v>1.7298187808896248E-2</v>
      </c>
      <c r="U50" s="73">
        <f>Revalo_RB!$H62</f>
        <v>1.3041925990254111E-2</v>
      </c>
      <c r="V50" s="56">
        <f>IF($F$1=1.8%,LOOKUP($A50,PSS!$B$6:$B$127,PSS!$C$6:$C$127),IF($F$1=1.5%,LOOKUP($A50,PSS!$B$6:$B$127,PSS!$D$6:$D$127),IF($F$1=1.3%,LOOKUP($A50,PSS!$B$6:$B$127,PSS!$E$6:$E$127),LOOKUP($A50,PSS!$B$6:$B$127,PSS!$F$6:$F$127))))</f>
        <v>28224</v>
      </c>
      <c r="W50" s="56">
        <f>IF($F$1=1.8%,LOOKUP($A50,Smic_AVPF!$B$6:$B$104,Smic_AVPF!$C$6:$C$104),IF($F$1=1.5%,LOOKUP($A50,Smic_AVPF!$B$6:$B$104,Smic_AVPF!$D$6:$D$104),IF($F$1=1.3%,LOOKUP($A50,Smic_AVPF!$B$6:$B$104,Smic_AVPF!$E$6:$E$104),LOOKUP($A50,Smic_AVPF!$B$6:$B$104,Smic_AVPF!$F$6:$F$104))))</f>
        <v>13526.76</v>
      </c>
      <c r="X50" s="56">
        <v>6307.62</v>
      </c>
      <c r="Y50" s="56"/>
      <c r="Z50" s="56"/>
      <c r="AA50" s="337"/>
      <c r="AB50" s="666">
        <v>2002</v>
      </c>
      <c r="AC50" s="672">
        <v>0.06</v>
      </c>
      <c r="AD50" s="673">
        <v>3.5999999999999997E-2</v>
      </c>
      <c r="AE50" s="673">
        <v>2.4000000000000004E-2</v>
      </c>
      <c r="AF50" s="668">
        <v>0.16</v>
      </c>
      <c r="AG50" s="668">
        <v>0.1</v>
      </c>
      <c r="AH50" s="668">
        <v>0.06</v>
      </c>
      <c r="AI50" s="337"/>
      <c r="AJ50" s="667">
        <v>1.25</v>
      </c>
      <c r="AK50" s="667">
        <v>1.25</v>
      </c>
      <c r="AL50" s="673">
        <f t="shared" si="13"/>
        <v>3.4999999999999996E-3</v>
      </c>
      <c r="AM50" s="673">
        <f>IF(Simulation!$D$42="Oui",Barèmes!$AO50,0)</f>
        <v>2.1999999999999997E-3</v>
      </c>
      <c r="AN50" s="673">
        <f>IF(Simulation!$D$42="Oui",Barèmes!$AP50,0)</f>
        <v>1.2999999999999999E-3</v>
      </c>
      <c r="AO50" s="677">
        <v>2.1999999999999997E-3</v>
      </c>
      <c r="AP50" s="677">
        <v>1.2999999999999999E-3</v>
      </c>
      <c r="AQ50" s="668">
        <f t="shared" si="8"/>
        <v>0.02</v>
      </c>
      <c r="AR50" s="668">
        <f>IF(Simulation!$D$42="Oui",Barèmes!$AT50,0)</f>
        <v>1.2E-2</v>
      </c>
      <c r="AS50" s="668">
        <f>IF(Simulation!$D$42="Oui",Barèmes!$AU50,0)</f>
        <v>8.0000000000000002E-3</v>
      </c>
      <c r="AT50" s="678">
        <v>1.2E-2</v>
      </c>
      <c r="AU50" s="678">
        <v>8.0000000000000002E-3</v>
      </c>
      <c r="AV50" s="668">
        <f t="shared" si="9"/>
        <v>2.2000000000000002E-2</v>
      </c>
      <c r="AW50" s="668">
        <f>IF(Simulation!$D$42="Oui",Barèmes!$AY50,0)</f>
        <v>1.3000000000000001E-2</v>
      </c>
      <c r="AX50" s="668">
        <f>IF(Simulation!$D$42="Oui",Barèmes!$AZ50,0)</f>
        <v>9.0000000000000011E-3</v>
      </c>
      <c r="AY50" s="678">
        <v>1.3000000000000001E-2</v>
      </c>
      <c r="AZ50" s="678">
        <v>9.0000000000000011E-3</v>
      </c>
      <c r="BA50" s="663"/>
      <c r="BB50" s="686">
        <v>4.1494</v>
      </c>
      <c r="BC50" s="683">
        <v>11.8949</v>
      </c>
      <c r="BD50" s="664"/>
      <c r="BE50" s="687">
        <v>0.36779800000000001</v>
      </c>
      <c r="BF50" s="687">
        <v>1.0364</v>
      </c>
      <c r="BG50" s="664"/>
      <c r="BH50" s="687">
        <v>0.37219999999999998</v>
      </c>
      <c r="BI50" s="687">
        <v>1.0488500000000001</v>
      </c>
      <c r="BJ50" s="661"/>
      <c r="BK50" s="366"/>
      <c r="BL50" s="666">
        <v>2002</v>
      </c>
      <c r="BM50" s="13">
        <v>61</v>
      </c>
      <c r="BN50" s="661"/>
      <c r="BO50" s="79"/>
      <c r="BP50" s="79"/>
      <c r="BQ50" s="146">
        <v>0</v>
      </c>
      <c r="BR50" s="668">
        <v>4.2999999999999997E-2</v>
      </c>
      <c r="BS50" s="668"/>
      <c r="BT50" s="668">
        <v>6.7000000000000004E-2</v>
      </c>
      <c r="BU50" s="366"/>
      <c r="BV50" s="666">
        <v>2002</v>
      </c>
      <c r="BW50" s="660"/>
      <c r="BX50" s="661"/>
      <c r="BY50" s="79"/>
      <c r="BZ50" s="79"/>
      <c r="CA50" s="6">
        <f t="shared" si="10"/>
        <v>0</v>
      </c>
      <c r="CB50" s="6">
        <f t="shared" si="12"/>
        <v>4.2999999999999997E-2</v>
      </c>
      <c r="CC50" s="6"/>
      <c r="CD50" s="6">
        <f t="shared" si="11"/>
        <v>6.7000000000000004E-2</v>
      </c>
      <c r="CE50" s="690">
        <v>2.9000000000000005E-2</v>
      </c>
      <c r="CG50" s="666">
        <v>2002</v>
      </c>
      <c r="CH50" s="691">
        <v>7.4999999999999997E-2</v>
      </c>
      <c r="CI50" s="692">
        <v>5.0999999999999997E-2</v>
      </c>
      <c r="CJ50" s="313">
        <v>5.0000000000000001E-3</v>
      </c>
      <c r="CK50" s="320">
        <v>0.95</v>
      </c>
      <c r="CL50" s="697">
        <v>7.4999999999999997E-3</v>
      </c>
      <c r="CM50" s="673">
        <v>2.0499999999999997E-2</v>
      </c>
      <c r="CN50" s="673">
        <v>2.0499999999999997E-2</v>
      </c>
      <c r="CO50" s="674">
        <v>2.4000000000000001E-4</v>
      </c>
    </row>
    <row r="51" spans="1:93" s="361" customFormat="1" hidden="1" x14ac:dyDescent="0.25">
      <c r="A51" s="666">
        <v>2003</v>
      </c>
      <c r="B51" s="54">
        <f>IF($F$1=1.8%,LOOKUP($A51,Prix!B$6:B$127,Prix!$G$6:$G$127),IF($F$1=1.5%,LOOKUP($A51,Prix!B$6:B$127,Prix!$H$6:$H$127),IF($F$1=1.3%,LOOKUP($A51,Prix!B$6:B$127,Prix!$I$6:$I$127),LOOKUP($A51,Prix!B$6:B$127,Prix!$J$6:$J$127))))</f>
        <v>2.0531400966183666E-2</v>
      </c>
      <c r="C51" s="7">
        <f t="shared" si="0"/>
        <v>0.79060441134345461</v>
      </c>
      <c r="D51" s="56">
        <f>IF($F$1=1.8%,LOOKUP($A51,SMPT!$B$6:$B$127,SMPT!$C$6:$C$127),IF($F$1=1.5%,LOOKUP($A51,SMPT!$B$6:$B$127,SMPT!$D$6:$D$127),IF($F$1=1.3%,LOOKUP($A51,SMPT!$B$6:$B$127,SMPT!$E$6:$E$127),LOOKUP($A51,SMPT!$B$6:$B$127,SMPT!$F$6:$F$127))))</f>
        <v>28389.66483963298</v>
      </c>
      <c r="E51" s="58">
        <f t="shared" si="3"/>
        <v>2.2825594758775214E-2</v>
      </c>
      <c r="F51" s="56">
        <f>IF($F$1=1.8%,LOOKUP($A51,SMIC!$B$6:$B$125,SMIC!$C$6:$C$125),IF($F$1=1.5%,LOOKUP($A51,SMIC!$B$6:$B$125,SMIC!$D$6:$D$125),IF($F$1=1.3%,LOOKUP($A51,SMIC!$B$6:$B$125,SMIC!$E$6:$E$125),LOOKUP($A51,SMIC!$B$6:$B$125,SMIC!$F$6:$F$125))))</f>
        <v>14219.280328767123</v>
      </c>
      <c r="G51" s="153">
        <f t="shared" si="1"/>
        <v>0.77294863933748426</v>
      </c>
      <c r="H51" s="357">
        <f t="shared" si="4"/>
        <v>3.4013605442176909E-2</v>
      </c>
      <c r="I51" s="666">
        <v>2003</v>
      </c>
      <c r="J51" s="662"/>
      <c r="K51" s="668">
        <f t="shared" si="6"/>
        <v>0.16449999999999998</v>
      </c>
      <c r="L51" s="668">
        <v>9.799999999999999E-2</v>
      </c>
      <c r="M51" s="668">
        <v>6.6500000000000004E-2</v>
      </c>
      <c r="N51" s="668">
        <f t="shared" si="7"/>
        <v>1.7000000000000001E-2</v>
      </c>
      <c r="O51" s="668">
        <f>IF(Simulation!$D$43="Oui",$Q51,0)</f>
        <v>1.6E-2</v>
      </c>
      <c r="P51" s="668">
        <f>IF(Simulation!$D$43="Oui",$R51,0)</f>
        <v>1E-3</v>
      </c>
      <c r="Q51" s="677">
        <v>1.6E-2</v>
      </c>
      <c r="R51" s="677">
        <v>1E-3</v>
      </c>
      <c r="S51" s="56">
        <f>IF($F$1=1.8%,LOOKUP($A51,Sal_valid!$B$6:$B$127,Sal_valid!$C$6:$C$127),IF($F$1=1.5%,LOOKUP($A51,Sal_valid!$B$6:$B$127,Sal_valid!$D$6:$D$127),IF($F$1=1.3%,LOOKUP($A51,Sal_valid!$B$6:$B$127,Sal_valid!$E$6:$E$127),LOOKUP($A51,Sal_valid!$B$6:$B$127,Sal_valid!$F$6:$F$127))))</f>
        <v>1366</v>
      </c>
      <c r="T51" s="73">
        <f>Revalo_RB!$D63</f>
        <v>1.5899581589958078E-2</v>
      </c>
      <c r="U51" s="73">
        <f>Revalo_RB!$H63</f>
        <v>0</v>
      </c>
      <c r="V51" s="56">
        <f>IF($F$1=1.8%,LOOKUP($A51,PSS!$B$6:$B$127,PSS!$C$6:$C$127),IF($F$1=1.5%,LOOKUP($A51,PSS!$B$6:$B$127,PSS!$D$6:$D$127),IF($F$1=1.3%,LOOKUP($A51,PSS!$B$6:$B$127,PSS!$E$6:$E$127),LOOKUP($A51,PSS!$B$6:$B$127,PSS!$F$6:$F$127))))</f>
        <v>29184</v>
      </c>
      <c r="W51" s="56">
        <f>IF($F$1=1.8%,LOOKUP($A51,Smic_AVPF!$B$6:$B$104,Smic_AVPF!$C$6:$C$104),IF($F$1=1.5%,LOOKUP($A51,Smic_AVPF!$B$6:$B$104,Smic_AVPF!$D$6:$D$104),IF($F$1=1.3%,LOOKUP($A51,Smic_AVPF!$B$6:$B$104,Smic_AVPF!$E$6:$E$104),LOOKUP($A51,Smic_AVPF!$B$6:$B$104,Smic_AVPF!$F$6:$F$104))))</f>
        <v>13851.24</v>
      </c>
      <c r="X51" s="56">
        <v>6402.23</v>
      </c>
      <c r="Y51" s="56"/>
      <c r="Z51" s="56"/>
      <c r="AA51" s="337"/>
      <c r="AB51" s="666">
        <v>2003</v>
      </c>
      <c r="AC51" s="672">
        <v>0.06</v>
      </c>
      <c r="AD51" s="673">
        <v>3.5999999999999997E-2</v>
      </c>
      <c r="AE51" s="673">
        <v>2.4000000000000004E-2</v>
      </c>
      <c r="AF51" s="668">
        <v>0.16</v>
      </c>
      <c r="AG51" s="668">
        <v>0.1</v>
      </c>
      <c r="AH51" s="668">
        <v>0.06</v>
      </c>
      <c r="AI51" s="337"/>
      <c r="AJ51" s="667">
        <v>1.25</v>
      </c>
      <c r="AK51" s="667">
        <v>1.25</v>
      </c>
      <c r="AL51" s="673">
        <f t="shared" si="13"/>
        <v>3.4999999999999996E-3</v>
      </c>
      <c r="AM51" s="673">
        <f>IF(Simulation!$D$42="Oui",Barèmes!$AO51,0)</f>
        <v>2.1999999999999997E-3</v>
      </c>
      <c r="AN51" s="673">
        <f>IF(Simulation!$D$42="Oui",Barèmes!$AP51,0)</f>
        <v>1.2999999999999999E-3</v>
      </c>
      <c r="AO51" s="677">
        <v>2.1999999999999997E-3</v>
      </c>
      <c r="AP51" s="677">
        <v>1.2999999999999999E-3</v>
      </c>
      <c r="AQ51" s="668">
        <f t="shared" si="8"/>
        <v>0.02</v>
      </c>
      <c r="AR51" s="668">
        <f>IF(Simulation!$D$42="Oui",Barèmes!$AT51,0)</f>
        <v>1.2E-2</v>
      </c>
      <c r="AS51" s="668">
        <f>IF(Simulation!$D$42="Oui",Barèmes!$AU51,0)</f>
        <v>8.0000000000000002E-3</v>
      </c>
      <c r="AT51" s="678">
        <v>1.2E-2</v>
      </c>
      <c r="AU51" s="678">
        <v>8.0000000000000002E-3</v>
      </c>
      <c r="AV51" s="668">
        <f t="shared" si="9"/>
        <v>2.2000000000000002E-2</v>
      </c>
      <c r="AW51" s="668">
        <f>IF(Simulation!$D$42="Oui",Barèmes!$AY51,0)</f>
        <v>1.3000000000000001E-2</v>
      </c>
      <c r="AX51" s="668">
        <f>IF(Simulation!$D$42="Oui",Barèmes!$AZ51,0)</f>
        <v>9.0000000000000011E-3</v>
      </c>
      <c r="AY51" s="678">
        <v>1.3000000000000001E-2</v>
      </c>
      <c r="AZ51" s="678">
        <v>9.0000000000000011E-3</v>
      </c>
      <c r="BA51" s="663"/>
      <c r="BB51" s="686">
        <v>4.2157999999999998</v>
      </c>
      <c r="BC51" s="683">
        <v>12.0852</v>
      </c>
      <c r="BD51" s="664"/>
      <c r="BE51" s="687">
        <v>0.37369999999999998</v>
      </c>
      <c r="BF51" s="687">
        <v>1.0529999999999999</v>
      </c>
      <c r="BG51" s="664"/>
      <c r="BH51" s="687">
        <v>0.37809999999999999</v>
      </c>
      <c r="BI51" s="687">
        <v>1.0656000000000001</v>
      </c>
      <c r="BJ51" s="661"/>
      <c r="BK51" s="366"/>
      <c r="BL51" s="666">
        <v>2003</v>
      </c>
      <c r="BM51" s="13">
        <v>61</v>
      </c>
      <c r="BN51" s="661"/>
      <c r="BO51" s="79"/>
      <c r="BP51" s="79"/>
      <c r="BQ51" s="146">
        <v>0</v>
      </c>
      <c r="BR51" s="668">
        <v>4.2999999999999997E-2</v>
      </c>
      <c r="BS51" s="668"/>
      <c r="BT51" s="668">
        <v>6.7000000000000004E-2</v>
      </c>
      <c r="BU51" s="366"/>
      <c r="BV51" s="666">
        <v>2003</v>
      </c>
      <c r="BW51" s="660"/>
      <c r="BX51" s="661"/>
      <c r="BY51" s="79"/>
      <c r="BZ51" s="79"/>
      <c r="CA51" s="6">
        <f t="shared" si="10"/>
        <v>0</v>
      </c>
      <c r="CB51" s="6">
        <f t="shared" si="12"/>
        <v>4.2999999999999997E-2</v>
      </c>
      <c r="CC51" s="6"/>
      <c r="CD51" s="6">
        <f t="shared" si="11"/>
        <v>6.7000000000000004E-2</v>
      </c>
      <c r="CE51" s="690">
        <v>2.9000000000000005E-2</v>
      </c>
      <c r="CG51" s="666">
        <v>2003</v>
      </c>
      <c r="CH51" s="691">
        <v>7.4999999999999997E-2</v>
      </c>
      <c r="CI51" s="692">
        <v>5.0999999999999997E-2</v>
      </c>
      <c r="CJ51" s="313">
        <v>5.0000000000000001E-3</v>
      </c>
      <c r="CK51" s="320">
        <v>0.95</v>
      </c>
      <c r="CL51" s="697">
        <v>7.4999999999999997E-3</v>
      </c>
      <c r="CM51" s="673">
        <v>2.4E-2</v>
      </c>
      <c r="CN51" s="673">
        <v>2.4E-2</v>
      </c>
      <c r="CO51" s="674">
        <v>2.4000000000000001E-4</v>
      </c>
    </row>
    <row r="52" spans="1:93" s="361" customFormat="1" hidden="1" x14ac:dyDescent="0.25">
      <c r="A52" s="666">
        <v>2004</v>
      </c>
      <c r="B52" s="54">
        <f>IF($F$1=1.8%,LOOKUP($A52,Prix!B$6:B$127,Prix!$G$6:$G$127),IF($F$1=1.5%,LOOKUP($A52,Prix!B$6:B$127,Prix!$H$6:$H$127),IF($F$1=1.3%,LOOKUP($A52,Prix!B$6:B$127,Prix!$I$6:$I$127),LOOKUP($A52,Prix!B$6:B$127,Prix!$J$6:$J$127))))</f>
        <v>2.130177514792897E-2</v>
      </c>
      <c r="C52" s="7">
        <f t="shared" si="0"/>
        <v>0.8068366275183807</v>
      </c>
      <c r="D52" s="56">
        <f>IF($F$1=1.8%,LOOKUP($A52,SMPT!$B$6:$B$127,SMPT!$C$6:$C$127),IF($F$1=1.5%,LOOKUP($A52,SMPT!$B$6:$B$127,SMPT!$D$6:$D$127),IF($F$1=1.3%,LOOKUP($A52,SMPT!$B$6:$B$127,SMPT!$E$6:$E$127),LOOKUP($A52,SMPT!$B$6:$B$127,SMPT!$F$6:$F$127))))</f>
        <v>29390.898801932097</v>
      </c>
      <c r="E52" s="58">
        <f t="shared" si="3"/>
        <v>3.5267551341478187E-2</v>
      </c>
      <c r="F52" s="56">
        <f>IF($F$1=1.8%,LOOKUP($A52,SMIC!$B$6:$B$125,SMIC!$C$6:$C$125),IF($F$1=1.5%,LOOKUP($A52,SMIC!$B$6:$B$125,SMIC!$D$6:$D$125),IF($F$1=1.3%,LOOKUP($A52,SMIC!$B$6:$B$125,SMIC!$E$6:$E$125),LOOKUP($A52,SMIC!$B$6:$B$125,SMIC!$F$6:$F$125))))</f>
        <v>14496.380983606559</v>
      </c>
      <c r="G52" s="153">
        <f t="shared" si="1"/>
        <v>0.80020864515964474</v>
      </c>
      <c r="H52" s="357">
        <f t="shared" si="4"/>
        <v>1.8092105263157965E-2</v>
      </c>
      <c r="I52" s="666">
        <v>2004</v>
      </c>
      <c r="J52" s="662"/>
      <c r="K52" s="668">
        <f t="shared" si="6"/>
        <v>0.16449999999999998</v>
      </c>
      <c r="L52" s="668">
        <v>9.799999999999999E-2</v>
      </c>
      <c r="M52" s="668">
        <v>6.6500000000000004E-2</v>
      </c>
      <c r="N52" s="668">
        <f t="shared" si="7"/>
        <v>1.7000000000000001E-2</v>
      </c>
      <c r="O52" s="668">
        <f>IF(Simulation!$D$43="Oui",$Q52,0)</f>
        <v>1.6E-2</v>
      </c>
      <c r="P52" s="668">
        <f>IF(Simulation!$D$43="Oui",$R52,0)</f>
        <v>1E-3</v>
      </c>
      <c r="Q52" s="677">
        <v>1.6E-2</v>
      </c>
      <c r="R52" s="677">
        <v>1E-3</v>
      </c>
      <c r="S52" s="56">
        <f>IF($F$1=1.8%,LOOKUP($A52,Sal_valid!$B$6:$B$127,Sal_valid!$C$6:$C$127),IF($F$1=1.5%,LOOKUP($A52,Sal_valid!$B$6:$B$127,Sal_valid!$D$6:$D$127),IF($F$1=1.3%,LOOKUP($A52,Sal_valid!$B$6:$B$127,Sal_valid!$E$6:$E$127),LOOKUP($A52,Sal_valid!$B$6:$B$127,Sal_valid!$F$6:$F$127))))</f>
        <v>1438</v>
      </c>
      <c r="T52" s="73">
        <f>Revalo_RB!$D64</f>
        <v>1.7021276595744705E-2</v>
      </c>
      <c r="U52" s="73">
        <f>Revalo_RB!$H64</f>
        <v>1.4999999999999902E-2</v>
      </c>
      <c r="V52" s="56">
        <f>IF($F$1=1.8%,LOOKUP($A52,PSS!$B$6:$B$127,PSS!$C$6:$C$127),IF($F$1=1.5%,LOOKUP($A52,PSS!$B$6:$B$127,PSS!$D$6:$D$127),IF($F$1=1.3%,LOOKUP($A52,PSS!$B$6:$B$127,PSS!$E$6:$E$127),LOOKUP($A52,PSS!$B$6:$B$127,PSS!$F$6:$F$127))))</f>
        <v>29712</v>
      </c>
      <c r="W52" s="56">
        <f>IF($F$1=1.8%,LOOKUP($A52,Smic_AVPF!$B$6:$B$104,Smic_AVPF!$C$6:$C$104),IF($F$1=1.5%,LOOKUP($A52,Smic_AVPF!$B$6:$B$104,Smic_AVPF!$D$6:$D$104),IF($F$1=1.3%,LOOKUP($A52,Smic_AVPF!$B$6:$B$104,Smic_AVPF!$E$6:$E$104),LOOKUP($A52,Smic_AVPF!$B$6:$B$104,Smic_AVPF!$F$6:$F$104))))</f>
        <v>14581.32</v>
      </c>
      <c r="X52" s="56">
        <v>6511.0599999999995</v>
      </c>
      <c r="Y52" s="56">
        <v>6706.39</v>
      </c>
      <c r="Z52" s="56"/>
      <c r="AA52" s="337"/>
      <c r="AB52" s="666">
        <v>2004</v>
      </c>
      <c r="AC52" s="672">
        <v>0.06</v>
      </c>
      <c r="AD52" s="673">
        <v>3.5999999999999997E-2</v>
      </c>
      <c r="AE52" s="673">
        <v>2.4000000000000004E-2</v>
      </c>
      <c r="AF52" s="668">
        <v>0.16</v>
      </c>
      <c r="AG52" s="668">
        <v>0.1</v>
      </c>
      <c r="AH52" s="668">
        <v>0.06</v>
      </c>
      <c r="AI52" s="337"/>
      <c r="AJ52" s="667">
        <v>1.25</v>
      </c>
      <c r="AK52" s="667">
        <v>1.25</v>
      </c>
      <c r="AL52" s="673">
        <f t="shared" si="13"/>
        <v>3.4999999999999996E-3</v>
      </c>
      <c r="AM52" s="673">
        <f>IF(Simulation!$D$42="Oui",Barèmes!$AO52,0)</f>
        <v>2.1999999999999997E-3</v>
      </c>
      <c r="AN52" s="673">
        <f>IF(Simulation!$D$42="Oui",Barèmes!$AP52,0)</f>
        <v>1.2999999999999999E-3</v>
      </c>
      <c r="AO52" s="677">
        <v>2.1999999999999997E-3</v>
      </c>
      <c r="AP52" s="677">
        <v>1.2999999999999999E-3</v>
      </c>
      <c r="AQ52" s="668">
        <f t="shared" si="8"/>
        <v>0.02</v>
      </c>
      <c r="AR52" s="668">
        <f>IF(Simulation!$D$42="Oui",Barèmes!$AT52,0)</f>
        <v>1.2E-2</v>
      </c>
      <c r="AS52" s="668">
        <f>IF(Simulation!$D$42="Oui",Barèmes!$AU52,0)</f>
        <v>8.0000000000000002E-3</v>
      </c>
      <c r="AT52" s="678">
        <v>1.2E-2</v>
      </c>
      <c r="AU52" s="678">
        <v>8.0000000000000002E-3</v>
      </c>
      <c r="AV52" s="668">
        <f t="shared" si="9"/>
        <v>2.2000000000000002E-2</v>
      </c>
      <c r="AW52" s="668">
        <f>IF(Simulation!$D$42="Oui",Barèmes!$AY52,0)</f>
        <v>1.3000000000000001E-2</v>
      </c>
      <c r="AX52" s="668">
        <f>IF(Simulation!$D$42="Oui",Barèmes!$AZ52,0)</f>
        <v>9.0000000000000011E-3</v>
      </c>
      <c r="AY52" s="678">
        <v>1.3000000000000001E-2</v>
      </c>
      <c r="AZ52" s="678">
        <v>9.0000000000000011E-3</v>
      </c>
      <c r="BA52" s="663"/>
      <c r="BB52" s="686">
        <v>4.3128000000000002</v>
      </c>
      <c r="BC52" s="683">
        <v>12.363200000000001</v>
      </c>
      <c r="BD52" s="664"/>
      <c r="BE52" s="687">
        <v>0.37959999999999999</v>
      </c>
      <c r="BF52" s="687">
        <v>1.0698000000000001</v>
      </c>
      <c r="BG52" s="664"/>
      <c r="BH52" s="687">
        <v>0.3846</v>
      </c>
      <c r="BI52" s="687">
        <v>1.0839000000000001</v>
      </c>
      <c r="BJ52" s="661"/>
      <c r="BK52" s="366"/>
      <c r="BL52" s="666">
        <v>2004</v>
      </c>
      <c r="BM52" s="13">
        <v>61</v>
      </c>
      <c r="BN52" s="661"/>
      <c r="BO52" s="79"/>
      <c r="BP52" s="79"/>
      <c r="BQ52" s="146">
        <v>0</v>
      </c>
      <c r="BR52" s="668">
        <v>4.2999999999999997E-2</v>
      </c>
      <c r="BS52" s="668"/>
      <c r="BT52" s="668">
        <v>6.7000000000000004E-2</v>
      </c>
      <c r="BU52" s="366"/>
      <c r="BV52" s="666">
        <v>2004</v>
      </c>
      <c r="BW52" s="660"/>
      <c r="BX52" s="661"/>
      <c r="BY52" s="79"/>
      <c r="BZ52" s="79"/>
      <c r="CA52" s="6">
        <f t="shared" si="10"/>
        <v>0</v>
      </c>
      <c r="CB52" s="6">
        <f t="shared" si="12"/>
        <v>4.2999999999999997E-2</v>
      </c>
      <c r="CC52" s="6"/>
      <c r="CD52" s="6">
        <f t="shared" si="11"/>
        <v>6.7000000000000004E-2</v>
      </c>
      <c r="CE52" s="690">
        <v>2.9000000000000005E-2</v>
      </c>
      <c r="CG52" s="666">
        <v>2004</v>
      </c>
      <c r="CH52" s="691">
        <v>7.4999999999999997E-2</v>
      </c>
      <c r="CI52" s="692">
        <v>5.0999999999999997E-2</v>
      </c>
      <c r="CJ52" s="313">
        <v>5.0000000000000001E-3</v>
      </c>
      <c r="CK52" s="320">
        <v>0.95</v>
      </c>
      <c r="CL52" s="697">
        <v>7.4999999999999997E-3</v>
      </c>
      <c r="CM52" s="673">
        <v>2.4E-2</v>
      </c>
      <c r="CN52" s="673">
        <v>2.4E-2</v>
      </c>
      <c r="CO52" s="674">
        <v>2.4000000000000001E-4</v>
      </c>
    </row>
    <row r="53" spans="1:93" s="361" customFormat="1" hidden="1" x14ac:dyDescent="0.25">
      <c r="A53" s="666">
        <v>2005</v>
      </c>
      <c r="B53" s="54">
        <f>IF($F$1=1.8%,LOOKUP($A53,Prix!B$6:B$127,Prix!$G$6:$G$127),IF($F$1=1.5%,LOOKUP($A53,Prix!B$6:B$127,Prix!$H$6:$H$127),IF($F$1=1.3%,LOOKUP($A53,Prix!B$6:B$127,Prix!$I$6:$I$127),LOOKUP($A53,Prix!B$6:B$127,Prix!$J$6:$J$127))))</f>
        <v>1.8539976825028948E-2</v>
      </c>
      <c r="C53" s="7">
        <f t="shared" si="0"/>
        <v>0.82402367993889059</v>
      </c>
      <c r="D53" s="56">
        <f>IF($F$1=1.8%,LOOKUP($A53,SMPT!$B$6:$B$127,SMPT!$C$6:$C$127),IF($F$1=1.5%,LOOKUP($A53,SMPT!$B$6:$B$127,SMPT!$D$6:$D$127),IF($F$1=1.3%,LOOKUP($A53,SMPT!$B$6:$B$127,SMPT!$E$6:$E$127),LOOKUP($A53,SMPT!$B$6:$B$127,SMPT!$F$6:$F$127))))</f>
        <v>30118.43185283634</v>
      </c>
      <c r="E53" s="58">
        <f t="shared" si="3"/>
        <v>2.4753685003209736E-2</v>
      </c>
      <c r="F53" s="56">
        <f>IF($F$1=1.8%,LOOKUP($A53,SMIC!$B$6:$B$125,SMIC!$C$6:$C$125),IF($F$1=1.5%,LOOKUP($A53,SMIC!$B$6:$B$125,SMIC!$D$6:$D$125),IF($F$1=1.3%,LOOKUP($A53,SMIC!$B$6:$B$125,SMIC!$E$6:$E$125),LOOKUP($A53,SMIC!$B$6:$B$125,SMIC!$F$6:$F$125))))</f>
        <v>14777.847707762561</v>
      </c>
      <c r="G53" s="153">
        <f t="shared" si="1"/>
        <v>0.82001675789877182</v>
      </c>
      <c r="H53" s="357">
        <f t="shared" si="4"/>
        <v>1.6155088852988664E-2</v>
      </c>
      <c r="I53" s="666">
        <v>2005</v>
      </c>
      <c r="J53" s="662"/>
      <c r="K53" s="668">
        <f t="shared" si="6"/>
        <v>0.16449999999999998</v>
      </c>
      <c r="L53" s="668">
        <v>9.799999999999999E-2</v>
      </c>
      <c r="M53" s="668">
        <v>6.6500000000000004E-2</v>
      </c>
      <c r="N53" s="668">
        <f t="shared" si="7"/>
        <v>1.7000000000000001E-2</v>
      </c>
      <c r="O53" s="668">
        <f>IF(Simulation!$D$43="Oui",$Q53,0)</f>
        <v>1.6E-2</v>
      </c>
      <c r="P53" s="668">
        <f>IF(Simulation!$D$43="Oui",$R53,0)</f>
        <v>1E-3</v>
      </c>
      <c r="Q53" s="677">
        <v>1.6E-2</v>
      </c>
      <c r="R53" s="677">
        <v>1E-3</v>
      </c>
      <c r="S53" s="56">
        <f>IF($F$1=1.8%,LOOKUP($A53,Sal_valid!$B$6:$B$127,Sal_valid!$C$6:$C$127),IF($F$1=1.5%,LOOKUP($A53,Sal_valid!$B$6:$B$127,Sal_valid!$D$6:$D$127),IF($F$1=1.3%,LOOKUP($A53,Sal_valid!$B$6:$B$127,Sal_valid!$E$6:$E$127),LOOKUP($A53,Sal_valid!$B$6:$B$127,Sal_valid!$F$6:$F$127))))</f>
        <v>1522</v>
      </c>
      <c r="T53" s="73">
        <f>Revalo_RB!$D65</f>
        <v>1.8197573656845822E-2</v>
      </c>
      <c r="U53" s="73">
        <f>Revalo_RB!$H65</f>
        <v>2.0000000000000018E-2</v>
      </c>
      <c r="V53" s="56">
        <f>IF($F$1=1.8%,LOOKUP($A53,PSS!$B$6:$B$127,PSS!$C$6:$C$127),IF($F$1=1.5%,LOOKUP($A53,PSS!$B$6:$B$127,PSS!$D$6:$D$127),IF($F$1=1.3%,LOOKUP($A53,PSS!$B$6:$B$127,PSS!$E$6:$E$127),LOOKUP($A53,PSS!$B$6:$B$127,PSS!$F$6:$F$127))))</f>
        <v>30192</v>
      </c>
      <c r="W53" s="56">
        <f>IF($F$1=1.8%,LOOKUP($A53,Smic_AVPF!$B$6:$B$104,Smic_AVPF!$C$6:$C$104),IF($F$1=1.5%,LOOKUP($A53,Smic_AVPF!$B$6:$B$104,Smic_AVPF!$D$6:$D$104),IF($F$1=1.3%,LOOKUP($A53,Smic_AVPF!$B$6:$B$104,Smic_AVPF!$E$6:$E$104),LOOKUP($A53,Smic_AVPF!$B$6:$B$104,Smic_AVPF!$F$6:$F$104))))</f>
        <v>15433.079999999998</v>
      </c>
      <c r="X53" s="56">
        <v>6641.2799999999988</v>
      </c>
      <c r="Y53" s="56">
        <v>6840.51</v>
      </c>
      <c r="Z53" s="56"/>
      <c r="AA53" s="337"/>
      <c r="AB53" s="666">
        <v>2005</v>
      </c>
      <c r="AC53" s="672">
        <v>0.06</v>
      </c>
      <c r="AD53" s="673">
        <v>3.5999999999999997E-2</v>
      </c>
      <c r="AE53" s="673">
        <v>2.4000000000000004E-2</v>
      </c>
      <c r="AF53" s="668">
        <v>0.16</v>
      </c>
      <c r="AG53" s="668">
        <v>0.1</v>
      </c>
      <c r="AH53" s="668">
        <v>0.06</v>
      </c>
      <c r="AI53" s="337"/>
      <c r="AJ53" s="667">
        <v>1.25</v>
      </c>
      <c r="AK53" s="667">
        <v>1.25</v>
      </c>
      <c r="AL53" s="673">
        <f t="shared" si="13"/>
        <v>3.4999999999999996E-3</v>
      </c>
      <c r="AM53" s="673">
        <f>IF(Simulation!$D$42="Oui",Barèmes!$AO53,0)</f>
        <v>2.1999999999999997E-3</v>
      </c>
      <c r="AN53" s="673">
        <f>IF(Simulation!$D$42="Oui",Barèmes!$AP53,0)</f>
        <v>1.2999999999999999E-3</v>
      </c>
      <c r="AO53" s="677">
        <v>2.1999999999999997E-3</v>
      </c>
      <c r="AP53" s="677">
        <v>1.2999999999999999E-3</v>
      </c>
      <c r="AQ53" s="668">
        <f t="shared" si="8"/>
        <v>0.02</v>
      </c>
      <c r="AR53" s="668">
        <f>IF(Simulation!$D$42="Oui",Barèmes!$AT53,0)</f>
        <v>1.2E-2</v>
      </c>
      <c r="AS53" s="668">
        <f>IF(Simulation!$D$42="Oui",Barèmes!$AU53,0)</f>
        <v>8.0000000000000002E-3</v>
      </c>
      <c r="AT53" s="678">
        <v>1.2E-2</v>
      </c>
      <c r="AU53" s="678">
        <v>8.0000000000000002E-3</v>
      </c>
      <c r="AV53" s="668">
        <f t="shared" si="9"/>
        <v>2.2000000000000002E-2</v>
      </c>
      <c r="AW53" s="668">
        <f>IF(Simulation!$D$42="Oui",Barèmes!$AY53,0)</f>
        <v>1.3000000000000001E-2</v>
      </c>
      <c r="AX53" s="668">
        <f>IF(Simulation!$D$42="Oui",Barèmes!$AZ53,0)</f>
        <v>9.0000000000000011E-3</v>
      </c>
      <c r="AY53" s="678">
        <v>1.3000000000000001E-2</v>
      </c>
      <c r="AZ53" s="678">
        <v>9.0000000000000011E-3</v>
      </c>
      <c r="BA53" s="663"/>
      <c r="BB53" s="685">
        <v>4.4162999999999997</v>
      </c>
      <c r="BC53" s="683">
        <v>12.66</v>
      </c>
      <c r="BD53" s="664"/>
      <c r="BE53" s="687">
        <v>0.38619999999999999</v>
      </c>
      <c r="BF53" s="687">
        <v>1.0886</v>
      </c>
      <c r="BG53" s="664"/>
      <c r="BH53" s="687">
        <v>0.3921</v>
      </c>
      <c r="BI53" s="687">
        <v>1.105</v>
      </c>
      <c r="BJ53" s="661"/>
      <c r="BK53" s="366"/>
      <c r="BL53" s="666">
        <v>2005</v>
      </c>
      <c r="BM53" s="13">
        <v>61</v>
      </c>
      <c r="BN53" s="661"/>
      <c r="BO53" s="79"/>
      <c r="BP53" s="79"/>
      <c r="BQ53" s="146">
        <v>0</v>
      </c>
      <c r="BR53" s="668">
        <v>4.2999999999999997E-2</v>
      </c>
      <c r="BS53" s="668"/>
      <c r="BT53" s="668">
        <v>7.1000000000000008E-2</v>
      </c>
      <c r="BU53" s="366"/>
      <c r="BV53" s="666">
        <v>2005</v>
      </c>
      <c r="BW53" s="660"/>
      <c r="BX53" s="661"/>
      <c r="BY53" s="79"/>
      <c r="BZ53" s="79"/>
      <c r="CA53" s="6">
        <f t="shared" si="10"/>
        <v>0</v>
      </c>
      <c r="CB53" s="6">
        <f t="shared" si="12"/>
        <v>4.2999999999999997E-2</v>
      </c>
      <c r="CC53" s="6"/>
      <c r="CD53" s="6">
        <f t="shared" si="11"/>
        <v>7.1000000000000008E-2</v>
      </c>
      <c r="CE53" s="690">
        <v>2.9000000000000005E-2</v>
      </c>
      <c r="CG53" s="666">
        <v>2005</v>
      </c>
      <c r="CH53" s="691">
        <v>7.4999999999999997E-2</v>
      </c>
      <c r="CI53" s="692">
        <v>5.0999999999999997E-2</v>
      </c>
      <c r="CJ53" s="313">
        <v>5.0000000000000001E-3</v>
      </c>
      <c r="CK53" s="320">
        <v>0.97</v>
      </c>
      <c r="CL53" s="697">
        <v>7.4999999999999997E-3</v>
      </c>
      <c r="CM53" s="673">
        <v>2.4E-2</v>
      </c>
      <c r="CN53" s="673">
        <v>2.4E-2</v>
      </c>
      <c r="CO53" s="674">
        <v>2.4000000000000001E-4</v>
      </c>
    </row>
    <row r="54" spans="1:93" s="361" customFormat="1" hidden="1" x14ac:dyDescent="0.25">
      <c r="A54" s="666">
        <v>2006</v>
      </c>
      <c r="B54" s="54">
        <f>IF($F$1=1.8%,LOOKUP($A54,Prix!B$6:B$127,Prix!$G$6:$G$127),IF($F$1=1.5%,LOOKUP($A54,Prix!B$6:B$127,Prix!$H$6:$H$127),IF($F$1=1.3%,LOOKUP($A54,Prix!B$6:B$127,Prix!$I$6:$I$127),LOOKUP($A54,Prix!B$6:B$127,Prix!$J$6:$J$127))))</f>
        <v>1.6268486916951153E-2</v>
      </c>
      <c r="C54" s="7">
        <f t="shared" si="0"/>
        <v>0.83930105986823267</v>
      </c>
      <c r="D54" s="56">
        <f>IF($F$1=1.8%,LOOKUP($A54,SMPT!$B$6:$B$127,SMPT!$C$6:$C$127),IF($F$1=1.5%,LOOKUP($A54,SMPT!$B$6:$B$127,SMPT!$D$6:$D$127),IF($F$1=1.3%,LOOKUP($A54,SMPT!$B$6:$B$127,SMPT!$E$6:$E$127),LOOKUP($A54,SMPT!$B$6:$B$127,SMPT!$F$6:$F$127))))</f>
        <v>31101.146173232195</v>
      </c>
      <c r="E54" s="58">
        <f t="shared" si="3"/>
        <v>3.2628336202813024E-2</v>
      </c>
      <c r="F54" s="56">
        <f>IF($F$1=1.8%,LOOKUP($A54,SMIC!$B$6:$B$125,SMIC!$C$6:$C$125),IF($F$1=1.5%,LOOKUP($A54,SMIC!$B$6:$B$125,SMIC!$D$6:$D$125),IF($F$1=1.3%,LOOKUP($A54,SMIC!$B$6:$B$125,SMIC!$E$6:$E$125),LOOKUP($A54,SMIC!$B$6:$B$125,SMIC!$F$6:$F$125))))</f>
        <v>14834.795068493149</v>
      </c>
      <c r="G54" s="153">
        <f t="shared" si="1"/>
        <v>0.84677254036743366</v>
      </c>
      <c r="H54" s="357">
        <f t="shared" si="4"/>
        <v>2.9014308426073221E-2</v>
      </c>
      <c r="I54" s="666">
        <v>2006</v>
      </c>
      <c r="J54" s="662"/>
      <c r="K54" s="668">
        <f t="shared" si="6"/>
        <v>0.16650000000000001</v>
      </c>
      <c r="L54" s="668">
        <v>9.9000000000000005E-2</v>
      </c>
      <c r="M54" s="668">
        <v>6.7500000000000004E-2</v>
      </c>
      <c r="N54" s="668">
        <f t="shared" si="7"/>
        <v>1.7000000000000001E-2</v>
      </c>
      <c r="O54" s="668">
        <f>IF(Simulation!$D$43="Oui",$Q54,0)</f>
        <v>1.6E-2</v>
      </c>
      <c r="P54" s="668">
        <f>IF(Simulation!$D$43="Oui",$R54,0)</f>
        <v>1E-3</v>
      </c>
      <c r="Q54" s="677">
        <v>1.6E-2</v>
      </c>
      <c r="R54" s="677">
        <v>1E-3</v>
      </c>
      <c r="S54" s="56">
        <f>IF($F$1=1.8%,LOOKUP($A54,Sal_valid!$B$6:$B$127,Sal_valid!$C$6:$C$127),IF($F$1=1.5%,LOOKUP($A54,Sal_valid!$B$6:$B$127,Sal_valid!$D$6:$D$127),IF($F$1=1.3%,LOOKUP($A54,Sal_valid!$B$6:$B$127,Sal_valid!$E$6:$E$127),LOOKUP($A54,Sal_valid!$B$6:$B$127,Sal_valid!$F$6:$F$127))))</f>
        <v>1606</v>
      </c>
      <c r="T54" s="73">
        <f>Revalo_RB!$D66</f>
        <v>1.6740088105726691E-2</v>
      </c>
      <c r="U54" s="73">
        <f>Revalo_RB!$H66</f>
        <v>1.8000000000000016E-2</v>
      </c>
      <c r="V54" s="56">
        <f>IF($F$1=1.8%,LOOKUP($A54,PSS!$B$6:$B$127,PSS!$C$6:$C$127),IF($F$1=1.5%,LOOKUP($A54,PSS!$B$6:$B$127,PSS!$D$6:$D$127),IF($F$1=1.3%,LOOKUP($A54,PSS!$B$6:$B$127,PSS!$E$6:$E$127),LOOKUP($A54,PSS!$B$6:$B$127,PSS!$F$6:$F$127))))</f>
        <v>31068</v>
      </c>
      <c r="W54" s="56">
        <f>IF($F$1=1.8%,LOOKUP($A54,Smic_AVPF!$B$6:$B$104,Smic_AVPF!$C$6:$C$104),IF($F$1=1.5%,LOOKUP($A54,Smic_AVPF!$B$6:$B$104,Smic_AVPF!$D$6:$D$104),IF($F$1=1.3%,LOOKUP($A54,Smic_AVPF!$B$6:$B$104,Smic_AVPF!$E$6:$E$104),LOOKUP($A54,Smic_AVPF!$B$6:$B$104,Smic_AVPF!$F$6:$F$104))))</f>
        <v>16284.839999999998</v>
      </c>
      <c r="X54" s="56">
        <v>6760.82</v>
      </c>
      <c r="Y54" s="56">
        <v>7172.54</v>
      </c>
      <c r="Z54" s="56"/>
      <c r="AA54" s="337"/>
      <c r="AB54" s="666">
        <v>2006</v>
      </c>
      <c r="AC54" s="672">
        <v>0.06</v>
      </c>
      <c r="AD54" s="673">
        <v>3.5999999999999997E-2</v>
      </c>
      <c r="AE54" s="673">
        <v>2.4000000000000004E-2</v>
      </c>
      <c r="AF54" s="668">
        <v>0.16239999999999999</v>
      </c>
      <c r="AG54" s="668">
        <v>0.1012</v>
      </c>
      <c r="AH54" s="668">
        <v>6.1199999999999991E-2</v>
      </c>
      <c r="AI54" s="337"/>
      <c r="AJ54" s="667">
        <v>1.25</v>
      </c>
      <c r="AK54" s="667">
        <v>1.25</v>
      </c>
      <c r="AL54" s="673">
        <f t="shared" si="13"/>
        <v>3.4999999999999996E-3</v>
      </c>
      <c r="AM54" s="673">
        <f>IF(Simulation!$D$42="Oui",Barèmes!$AO54,0)</f>
        <v>2.1999999999999997E-3</v>
      </c>
      <c r="AN54" s="673">
        <f>IF(Simulation!$D$42="Oui",Barèmes!$AP54,0)</f>
        <v>1.2999999999999999E-3</v>
      </c>
      <c r="AO54" s="677">
        <v>2.1999999999999997E-3</v>
      </c>
      <c r="AP54" s="677">
        <v>1.2999999999999999E-3</v>
      </c>
      <c r="AQ54" s="668">
        <f t="shared" si="8"/>
        <v>0.02</v>
      </c>
      <c r="AR54" s="668">
        <f>IF(Simulation!$D$42="Oui",Barèmes!$AT54,0)</f>
        <v>1.2E-2</v>
      </c>
      <c r="AS54" s="668">
        <f>IF(Simulation!$D$42="Oui",Barèmes!$AU54,0)</f>
        <v>8.0000000000000002E-3</v>
      </c>
      <c r="AT54" s="678">
        <v>1.2E-2</v>
      </c>
      <c r="AU54" s="678">
        <v>8.0000000000000002E-3</v>
      </c>
      <c r="AV54" s="668">
        <f t="shared" si="9"/>
        <v>2.2000000000000002E-2</v>
      </c>
      <c r="AW54" s="668">
        <f>IF(Simulation!$D$42="Oui",Barèmes!$AY54,0)</f>
        <v>1.3000000000000001E-2</v>
      </c>
      <c r="AX54" s="668">
        <f>IF(Simulation!$D$42="Oui",Barèmes!$AZ54,0)</f>
        <v>9.0000000000000011E-3</v>
      </c>
      <c r="AY54" s="678">
        <v>1.3000000000000001E-2</v>
      </c>
      <c r="AZ54" s="678">
        <v>9.0000000000000011E-3</v>
      </c>
      <c r="BA54" s="663"/>
      <c r="BB54" s="685">
        <v>4.5444000000000004</v>
      </c>
      <c r="BC54" s="683">
        <v>13.027100000000001</v>
      </c>
      <c r="BD54" s="664"/>
      <c r="BE54" s="687">
        <v>0.39400000000000002</v>
      </c>
      <c r="BF54" s="687">
        <v>1.1104000000000001</v>
      </c>
      <c r="BG54" s="664"/>
      <c r="BH54" s="687">
        <v>0.39889999999999998</v>
      </c>
      <c r="BI54" s="687">
        <v>1.1241000000000001</v>
      </c>
      <c r="BJ54" s="661"/>
      <c r="BK54" s="366"/>
      <c r="BL54" s="666">
        <v>2006</v>
      </c>
      <c r="BM54" s="13">
        <v>61</v>
      </c>
      <c r="BN54" s="661"/>
      <c r="BO54" s="79"/>
      <c r="BP54" s="79"/>
      <c r="BQ54" s="146">
        <v>0</v>
      </c>
      <c r="BR54" s="668">
        <v>4.2999999999999997E-2</v>
      </c>
      <c r="BS54" s="668"/>
      <c r="BT54" s="668">
        <v>7.1000000000000008E-2</v>
      </c>
      <c r="BU54" s="366"/>
      <c r="BV54" s="666">
        <v>2006</v>
      </c>
      <c r="BW54" s="660"/>
      <c r="BX54" s="661"/>
      <c r="BY54" s="79"/>
      <c r="BZ54" s="79"/>
      <c r="CA54" s="6">
        <f t="shared" si="10"/>
        <v>0</v>
      </c>
      <c r="CB54" s="6">
        <f t="shared" si="12"/>
        <v>4.2999999999999997E-2</v>
      </c>
      <c r="CC54" s="6"/>
      <c r="CD54" s="6">
        <f t="shared" si="11"/>
        <v>7.1000000000000008E-2</v>
      </c>
      <c r="CE54" s="690">
        <v>2.9000000000000005E-2</v>
      </c>
      <c r="CG54" s="666">
        <v>2006</v>
      </c>
      <c r="CH54" s="691">
        <v>7.4999999999999997E-2</v>
      </c>
      <c r="CI54" s="692">
        <v>5.0999999999999997E-2</v>
      </c>
      <c r="CJ54" s="313">
        <v>5.0000000000000001E-3</v>
      </c>
      <c r="CK54" s="320">
        <v>0.97</v>
      </c>
      <c r="CL54" s="697">
        <v>7.4999999999999997E-3</v>
      </c>
      <c r="CM54" s="673">
        <v>2.4399999999999998E-2</v>
      </c>
      <c r="CN54" s="673">
        <v>2.4399999999999998E-2</v>
      </c>
      <c r="CO54" s="674">
        <v>2.4000000000000001E-4</v>
      </c>
    </row>
    <row r="55" spans="1:93" s="361" customFormat="1" hidden="1" x14ac:dyDescent="0.25">
      <c r="A55" s="666">
        <v>2007</v>
      </c>
      <c r="B55" s="54">
        <f>IF($F$1=1.8%,LOOKUP($A55,Prix!B$6:B$127,Prix!$G$6:$G$127),IF($F$1=1.5%,LOOKUP($A55,Prix!B$6:B$127,Prix!$H$6:$H$127),IF($F$1=1.3%,LOOKUP($A55,Prix!B$6:B$127,Prix!$I$6:$I$127),LOOKUP($A55,Prix!B$6:B$127,Prix!$J$6:$J$127))))</f>
        <v>1.4888615246837489E-2</v>
      </c>
      <c r="C55" s="7">
        <f t="shared" si="0"/>
        <v>0.85295521818008224</v>
      </c>
      <c r="D55" s="56">
        <f>IF($F$1=1.8%,LOOKUP($A55,SMPT!$B$6:$B$127,SMPT!$C$6:$C$127),IF($F$1=1.5%,LOOKUP($A55,SMPT!$B$6:$B$127,SMPT!$D$6:$D$127),IF($F$1=1.3%,LOOKUP($A55,SMPT!$B$6:$B$127,SMPT!$E$6:$E$127),LOOKUP($A55,SMPT!$B$6:$B$127,SMPT!$F$6:$F$127))))</f>
        <v>31903.374243484195</v>
      </c>
      <c r="E55" s="58">
        <f t="shared" si="3"/>
        <v>2.5794164169500977E-2</v>
      </c>
      <c r="F55" s="56">
        <f>IF($F$1=1.8%,LOOKUP($A55,SMIC!$B$6:$B$125,SMIC!$C$6:$C$125),IF($F$1=1.5%,LOOKUP($A55,SMIC!$B$6:$B$125,SMIC!$D$6:$D$125),IF($F$1=1.3%,LOOKUP($A55,SMIC!$B$6:$B$125,SMIC!$E$6:$E$125),LOOKUP($A55,SMIC!$B$6:$B$125,SMIC!$F$6:$F$125))))</f>
        <v>15207.371506849315</v>
      </c>
      <c r="G55" s="153">
        <f t="shared" si="1"/>
        <v>0.8686143302878967</v>
      </c>
      <c r="H55" s="357">
        <f t="shared" si="4"/>
        <v>3.5921205098493614E-2</v>
      </c>
      <c r="I55" s="666">
        <v>2007</v>
      </c>
      <c r="J55" s="662"/>
      <c r="K55" s="668">
        <f t="shared" si="6"/>
        <v>0.16650000000000001</v>
      </c>
      <c r="L55" s="668">
        <v>9.9000000000000005E-2</v>
      </c>
      <c r="M55" s="668">
        <v>6.7500000000000004E-2</v>
      </c>
      <c r="N55" s="668">
        <f t="shared" si="7"/>
        <v>1.7000000000000001E-2</v>
      </c>
      <c r="O55" s="668">
        <f>IF(Simulation!$D$43="Oui",$Q55,0)</f>
        <v>1.6E-2</v>
      </c>
      <c r="P55" s="668">
        <f>IF(Simulation!$D$43="Oui",$R55,0)</f>
        <v>1E-3</v>
      </c>
      <c r="Q55" s="677">
        <v>1.6E-2</v>
      </c>
      <c r="R55" s="677">
        <v>1E-3</v>
      </c>
      <c r="S55" s="56">
        <f>IF($F$1=1.8%,LOOKUP($A55,Sal_valid!$B$6:$B$127,Sal_valid!$C$6:$C$127),IF($F$1=1.5%,LOOKUP($A55,Sal_valid!$B$6:$B$127,Sal_valid!$D$6:$D$127),IF($F$1=1.3%,LOOKUP($A55,Sal_valid!$B$6:$B$127,Sal_valid!$E$6:$E$127),LOOKUP($A55,Sal_valid!$B$6:$B$127,Sal_valid!$F$6:$F$127))))</f>
        <v>1654</v>
      </c>
      <c r="T55" s="73">
        <f>Revalo_RB!$D67</f>
        <v>1.0685663401602818E-2</v>
      </c>
      <c r="U55" s="73">
        <f>Revalo_RB!$H67</f>
        <v>1.8000000000000016E-2</v>
      </c>
      <c r="V55" s="56">
        <f>IF($F$1=1.8%,LOOKUP($A55,PSS!$B$6:$B$127,PSS!$C$6:$C$127),IF($F$1=1.5%,LOOKUP($A55,PSS!$B$6:$B$127,PSS!$D$6:$D$127),IF($F$1=1.3%,LOOKUP($A55,PSS!$B$6:$B$127,PSS!$E$6:$E$127),LOOKUP($A55,PSS!$B$6:$B$127,PSS!$F$6:$F$127))))</f>
        <v>32184</v>
      </c>
      <c r="W55" s="56">
        <f>IF($F$1=1.8%,LOOKUP($A55,Smic_AVPF!$B$6:$B$104,Smic_AVPF!$C$6:$C$104),IF($F$1=1.5%,LOOKUP($A55,Smic_AVPF!$B$6:$B$104,Smic_AVPF!$D$6:$D$104),IF($F$1=1.3%,LOOKUP($A55,Smic_AVPF!$B$6:$B$104,Smic_AVPF!$E$6:$E$104),LOOKUP($A55,Smic_AVPF!$B$6:$B$104,Smic_AVPF!$F$6:$F$104))))</f>
        <v>16771.560000000001</v>
      </c>
      <c r="X55" s="56">
        <v>6882.5099999999993</v>
      </c>
      <c r="Y55" s="56">
        <v>7301.64</v>
      </c>
      <c r="Z55" s="56"/>
      <c r="AA55" s="337"/>
      <c r="AB55" s="666">
        <v>2007</v>
      </c>
      <c r="AC55" s="672">
        <v>0.06</v>
      </c>
      <c r="AD55" s="673">
        <v>3.5999999999999997E-2</v>
      </c>
      <c r="AE55" s="673">
        <v>2.4000000000000004E-2</v>
      </c>
      <c r="AF55" s="668">
        <v>0.16239999999999999</v>
      </c>
      <c r="AG55" s="668">
        <v>0.1012</v>
      </c>
      <c r="AH55" s="668">
        <v>6.1199999999999991E-2</v>
      </c>
      <c r="AI55" s="337"/>
      <c r="AJ55" s="667">
        <v>1.25</v>
      </c>
      <c r="AK55" s="667">
        <v>1.25</v>
      </c>
      <c r="AL55" s="673">
        <f t="shared" si="13"/>
        <v>3.4999999999999996E-3</v>
      </c>
      <c r="AM55" s="673">
        <f>IF(Simulation!$D$42="Oui",Barèmes!$AO55,0)</f>
        <v>2.1999999999999997E-3</v>
      </c>
      <c r="AN55" s="673">
        <f>IF(Simulation!$D$42="Oui",Barèmes!$AP55,0)</f>
        <v>1.2999999999999999E-3</v>
      </c>
      <c r="AO55" s="677">
        <v>2.1999999999999997E-3</v>
      </c>
      <c r="AP55" s="677">
        <v>1.2999999999999999E-3</v>
      </c>
      <c r="AQ55" s="668">
        <f t="shared" si="8"/>
        <v>0.02</v>
      </c>
      <c r="AR55" s="668">
        <f>IF(Simulation!$D$42="Oui",Barèmes!$AT55,0)</f>
        <v>1.2E-2</v>
      </c>
      <c r="AS55" s="668">
        <f>IF(Simulation!$D$42="Oui",Barèmes!$AU55,0)</f>
        <v>8.0000000000000002E-3</v>
      </c>
      <c r="AT55" s="678">
        <v>1.2E-2</v>
      </c>
      <c r="AU55" s="678">
        <v>8.0000000000000002E-3</v>
      </c>
      <c r="AV55" s="668">
        <f t="shared" si="9"/>
        <v>2.2000000000000002E-2</v>
      </c>
      <c r="AW55" s="668">
        <f>IF(Simulation!$D$42="Oui",Barèmes!$AY55,0)</f>
        <v>1.3000000000000001E-2</v>
      </c>
      <c r="AX55" s="668">
        <f>IF(Simulation!$D$42="Oui",Barèmes!$AZ55,0)</f>
        <v>9.0000000000000011E-3</v>
      </c>
      <c r="AY55" s="678">
        <v>1.3000000000000001E-2</v>
      </c>
      <c r="AZ55" s="678">
        <v>9.0000000000000011E-3</v>
      </c>
      <c r="BA55" s="663"/>
      <c r="BB55" s="685">
        <v>4.7125000000000004</v>
      </c>
      <c r="BC55" s="683">
        <v>13.5091</v>
      </c>
      <c r="BD55" s="664"/>
      <c r="BE55" s="687">
        <v>0.40050000000000002</v>
      </c>
      <c r="BF55" s="687">
        <v>1.1287</v>
      </c>
      <c r="BG55" s="664"/>
      <c r="BH55" s="687">
        <v>0.40560000000000002</v>
      </c>
      <c r="BI55" s="687">
        <v>1.1432</v>
      </c>
      <c r="BJ55" s="661"/>
      <c r="BK55" s="366"/>
      <c r="BL55" s="666">
        <v>2007</v>
      </c>
      <c r="BM55" s="13">
        <v>61</v>
      </c>
      <c r="BN55" s="661"/>
      <c r="BO55" s="79"/>
      <c r="BP55" s="79"/>
      <c r="BQ55" s="146">
        <v>0</v>
      </c>
      <c r="BR55" s="668">
        <v>4.2999999999999997E-2</v>
      </c>
      <c r="BS55" s="668"/>
      <c r="BT55" s="668">
        <v>7.1000000000000008E-2</v>
      </c>
      <c r="BU55" s="366"/>
      <c r="BV55" s="666">
        <v>2007</v>
      </c>
      <c r="BW55" s="660"/>
      <c r="BX55" s="661"/>
      <c r="BY55" s="79"/>
      <c r="BZ55" s="79"/>
      <c r="CA55" s="6">
        <f t="shared" si="10"/>
        <v>0</v>
      </c>
      <c r="CB55" s="6">
        <f t="shared" si="12"/>
        <v>4.2999999999999997E-2</v>
      </c>
      <c r="CC55" s="6"/>
      <c r="CD55" s="6">
        <f t="shared" si="11"/>
        <v>7.1000000000000008E-2</v>
      </c>
      <c r="CE55" s="690">
        <v>2.9000000000000005E-2</v>
      </c>
      <c r="CG55" s="666">
        <v>2007</v>
      </c>
      <c r="CH55" s="691">
        <v>7.4999999999999997E-2</v>
      </c>
      <c r="CI55" s="692">
        <v>5.0999999999999997E-2</v>
      </c>
      <c r="CJ55" s="313">
        <v>5.0000000000000001E-3</v>
      </c>
      <c r="CK55" s="320">
        <v>0.97</v>
      </c>
      <c r="CL55" s="697">
        <v>7.4999999999999997E-3</v>
      </c>
      <c r="CM55" s="673">
        <v>2.4E-2</v>
      </c>
      <c r="CN55" s="673">
        <v>2.4E-2</v>
      </c>
      <c r="CO55" s="674">
        <v>2.4000000000000001E-4</v>
      </c>
    </row>
    <row r="56" spans="1:93" s="361" customFormat="1" hidden="1" x14ac:dyDescent="0.25">
      <c r="A56" s="666">
        <v>2008</v>
      </c>
      <c r="B56" s="54">
        <f>IF($F$1=1.8%,LOOKUP($A56,Prix!B$6:B$127,Prix!$G$6:$G$127),IF($F$1=1.5%,LOOKUP($A56,Prix!B$6:B$127,Prix!$H$6:$H$127),IF($F$1=1.3%,LOOKUP($A56,Prix!B$6:B$127,Prix!$I$6:$I$127),LOOKUP($A56,Prix!B$6:B$127,Prix!$J$6:$J$127))))</f>
        <v>2.8127068166776903E-2</v>
      </c>
      <c r="C56" s="7">
        <f t="shared" si="0"/>
        <v>0.8656545402463478</v>
      </c>
      <c r="D56" s="56">
        <f>IF($F$1=1.8%,LOOKUP($A56,SMPT!$B$6:$B$127,SMPT!$C$6:$C$127),IF($F$1=1.5%,LOOKUP($A56,SMPT!$B$6:$B$127,SMPT!$D$6:$D$127),IF($F$1=1.3%,LOOKUP($A56,SMPT!$B$6:$B$127,SMPT!$E$6:$E$127),LOOKUP($A56,SMPT!$B$6:$B$127,SMPT!$F$6:$F$127))))</f>
        <v>32657.838459142542</v>
      </c>
      <c r="E56" s="58">
        <f t="shared" si="3"/>
        <v>2.3648414424766839E-2</v>
      </c>
      <c r="F56" s="56">
        <f>IF($F$1=1.8%,LOOKUP($A56,SMIC!$B$6:$B$125,SMIC!$C$6:$C$125),IF($F$1=1.5%,LOOKUP($A56,SMIC!$B$6:$B$125,SMIC!$D$6:$D$125),IF($F$1=1.3%,LOOKUP($A56,SMIC!$B$6:$B$125,SMIC!$E$6:$E$125),LOOKUP($A56,SMIC!$B$6:$B$125,SMIC!$F$6:$F$125))))</f>
        <v>15665.475956284154</v>
      </c>
      <c r="G56" s="153">
        <f t="shared" si="1"/>
        <v>0.88915568194583616</v>
      </c>
      <c r="H56" s="357">
        <f t="shared" si="4"/>
        <v>3.392990305741983E-2</v>
      </c>
      <c r="I56" s="666">
        <v>2008</v>
      </c>
      <c r="J56" s="662"/>
      <c r="K56" s="668">
        <f t="shared" si="6"/>
        <v>0.16650000000000001</v>
      </c>
      <c r="L56" s="668">
        <v>9.9000000000000005E-2</v>
      </c>
      <c r="M56" s="668">
        <v>6.7500000000000004E-2</v>
      </c>
      <c r="N56" s="668">
        <f t="shared" si="7"/>
        <v>1.7000000000000001E-2</v>
      </c>
      <c r="O56" s="668">
        <f>IF(Simulation!$D$43="Oui",$Q56,0)</f>
        <v>1.6E-2</v>
      </c>
      <c r="P56" s="668">
        <f>IF(Simulation!$D$43="Oui",$R56,0)</f>
        <v>1E-3</v>
      </c>
      <c r="Q56" s="677">
        <v>1.6E-2</v>
      </c>
      <c r="R56" s="677">
        <v>1E-3</v>
      </c>
      <c r="S56" s="56">
        <f>IF($F$1=1.8%,LOOKUP($A56,Sal_valid!$B$6:$B$127,Sal_valid!$C$6:$C$127),IF($F$1=1.5%,LOOKUP($A56,Sal_valid!$B$6:$B$127,Sal_valid!$D$6:$D$127),IF($F$1=1.3%,LOOKUP($A56,Sal_valid!$B$6:$B$127,Sal_valid!$E$6:$E$127),LOOKUP($A56,Sal_valid!$B$6:$B$127,Sal_valid!$F$6:$F$127))))</f>
        <v>1688</v>
      </c>
      <c r="T56" s="73">
        <f>Revalo_RB!$D68</f>
        <v>8.9847259658579759E-3</v>
      </c>
      <c r="U56" s="73">
        <f>Revalo_RB!$H68</f>
        <v>1.9087999999999994E-2</v>
      </c>
      <c r="V56" s="56">
        <f>IF($F$1=1.8%,LOOKUP($A56,PSS!$B$6:$B$127,PSS!$C$6:$C$127),IF($F$1=1.5%,LOOKUP($A56,PSS!$B$6:$B$127,PSS!$D$6:$D$127),IF($F$1=1.3%,LOOKUP($A56,PSS!$B$6:$B$127,PSS!$E$6:$E$127),LOOKUP($A56,PSS!$B$6:$B$127,PSS!$F$6:$F$127))))</f>
        <v>33276</v>
      </c>
      <c r="W56" s="56">
        <f>IF($F$1=1.8%,LOOKUP($A56,Smic_AVPF!$B$6:$B$104,Smic_AVPF!$C$6:$C$104),IF($F$1=1.5%,LOOKUP($A56,Smic_AVPF!$B$6:$B$104,Smic_AVPF!$D$6:$D$104),IF($F$1=1.3%,LOOKUP($A56,Smic_AVPF!$B$6:$B$104,Smic_AVPF!$E$6:$E$104),LOOKUP($A56,Smic_AVPF!$B$6:$B$104,Smic_AVPF!$F$6:$F$104))))</f>
        <v>17116.319999999996</v>
      </c>
      <c r="X56" s="56">
        <v>6984.0870175438586</v>
      </c>
      <c r="Y56" s="56">
        <v>7603.41</v>
      </c>
      <c r="Z56" s="56"/>
      <c r="AA56" s="337"/>
      <c r="AB56" s="666">
        <v>2008</v>
      </c>
      <c r="AC56" s="672">
        <v>0.06</v>
      </c>
      <c r="AD56" s="673">
        <v>3.5999999999999997E-2</v>
      </c>
      <c r="AE56" s="673">
        <v>2.4000000000000004E-2</v>
      </c>
      <c r="AF56" s="668">
        <v>0.16239999999999999</v>
      </c>
      <c r="AG56" s="668">
        <v>0.1012</v>
      </c>
      <c r="AH56" s="668">
        <v>6.1199999999999991E-2</v>
      </c>
      <c r="AI56" s="337"/>
      <c r="AJ56" s="667">
        <v>1.25</v>
      </c>
      <c r="AK56" s="667">
        <v>1.25</v>
      </c>
      <c r="AL56" s="673">
        <f t="shared" si="13"/>
        <v>3.4999999999999996E-3</v>
      </c>
      <c r="AM56" s="673">
        <f>IF(Simulation!$D$42="Oui",Barèmes!$AO56,0)</f>
        <v>2.1999999999999997E-3</v>
      </c>
      <c r="AN56" s="673">
        <f>IF(Simulation!$D$42="Oui",Barèmes!$AP56,0)</f>
        <v>1.2999999999999999E-3</v>
      </c>
      <c r="AO56" s="677">
        <v>2.1999999999999997E-3</v>
      </c>
      <c r="AP56" s="677">
        <v>1.2999999999999999E-3</v>
      </c>
      <c r="AQ56" s="668">
        <f t="shared" si="8"/>
        <v>0.02</v>
      </c>
      <c r="AR56" s="668">
        <f>IF(Simulation!$D$42="Oui",Barèmes!$AT56,0)</f>
        <v>1.2E-2</v>
      </c>
      <c r="AS56" s="668">
        <f>IF(Simulation!$D$42="Oui",Barèmes!$AU56,0)</f>
        <v>8.0000000000000002E-3</v>
      </c>
      <c r="AT56" s="678">
        <v>1.2E-2</v>
      </c>
      <c r="AU56" s="678">
        <v>8.0000000000000002E-3</v>
      </c>
      <c r="AV56" s="668">
        <f t="shared" si="9"/>
        <v>2.2000000000000002E-2</v>
      </c>
      <c r="AW56" s="668">
        <f>IF(Simulation!$D$42="Oui",Barèmes!$AY56,0)</f>
        <v>1.3000000000000001E-2</v>
      </c>
      <c r="AX56" s="668">
        <f>IF(Simulation!$D$42="Oui",Barèmes!$AZ56,0)</f>
        <v>9.0000000000000011E-3</v>
      </c>
      <c r="AY56" s="678">
        <v>1.3000000000000001E-2</v>
      </c>
      <c r="AZ56" s="678">
        <v>9.0000000000000011E-3</v>
      </c>
      <c r="BA56" s="663"/>
      <c r="BB56" s="685">
        <v>4.8727</v>
      </c>
      <c r="BC56" s="683">
        <v>13.968400000000001</v>
      </c>
      <c r="BD56" s="664"/>
      <c r="BE56" s="687">
        <v>0.4073</v>
      </c>
      <c r="BF56" s="687">
        <v>1.1479999999999999</v>
      </c>
      <c r="BG56" s="664"/>
      <c r="BH56" s="687">
        <v>0.41170000000000001</v>
      </c>
      <c r="BI56" s="687">
        <v>1.1606000000000001</v>
      </c>
      <c r="BJ56" s="661"/>
      <c r="BK56" s="366"/>
      <c r="BL56" s="666">
        <v>2008</v>
      </c>
      <c r="BM56" s="13">
        <v>61</v>
      </c>
      <c r="BN56" s="661"/>
      <c r="BO56" s="79"/>
      <c r="BP56" s="79"/>
      <c r="BQ56" s="146">
        <v>0</v>
      </c>
      <c r="BR56" s="668">
        <v>4.2999999999999997E-2</v>
      </c>
      <c r="BS56" s="668"/>
      <c r="BT56" s="668">
        <v>7.1000000000000008E-2</v>
      </c>
      <c r="BU56" s="366"/>
      <c r="BV56" s="666">
        <v>2008</v>
      </c>
      <c r="BW56" s="660"/>
      <c r="BX56" s="661"/>
      <c r="BY56" s="79"/>
      <c r="BZ56" s="79"/>
      <c r="CA56" s="6">
        <f t="shared" si="10"/>
        <v>0</v>
      </c>
      <c r="CB56" s="6">
        <f t="shared" si="12"/>
        <v>4.2999999999999997E-2</v>
      </c>
      <c r="CC56" s="6"/>
      <c r="CD56" s="6">
        <f t="shared" si="11"/>
        <v>7.1000000000000008E-2</v>
      </c>
      <c r="CE56" s="690">
        <v>2.9000000000000005E-2</v>
      </c>
      <c r="CG56" s="666">
        <v>2008</v>
      </c>
      <c r="CH56" s="691">
        <v>7.4999999999999997E-2</v>
      </c>
      <c r="CI56" s="692">
        <v>5.0999999999999997E-2</v>
      </c>
      <c r="CJ56" s="313">
        <v>5.0000000000000001E-3</v>
      </c>
      <c r="CK56" s="320">
        <v>0.97</v>
      </c>
      <c r="CL56" s="697">
        <v>7.4999999999999997E-3</v>
      </c>
      <c r="CM56" s="673">
        <v>2.4E-2</v>
      </c>
      <c r="CN56" s="673">
        <v>2.4E-2</v>
      </c>
      <c r="CO56" s="674">
        <v>2.4000000000000001E-4</v>
      </c>
    </row>
    <row r="57" spans="1:93" s="361" customFormat="1" hidden="1" x14ac:dyDescent="0.25">
      <c r="A57" s="666">
        <v>2009</v>
      </c>
      <c r="B57" s="54">
        <f>IF($F$1=1.8%,LOOKUP($A57,Prix!B$6:B$127,Prix!$G$6:$G$127),IF($F$1=1.5%,LOOKUP($A57,Prix!B$6:B$127,Prix!$H$6:$H$127),IF($F$1=1.3%,LOOKUP($A57,Prix!B$6:B$127,Prix!$I$6:$I$127),LOOKUP($A57,Prix!B$6:B$127,Prix!$J$6:$J$127))))</f>
        <v>8.5827700890472869E-4</v>
      </c>
      <c r="C57" s="7">
        <f t="shared" si="0"/>
        <v>0.89000286450873678</v>
      </c>
      <c r="D57" s="56">
        <f>IF($F$1=1.8%,LOOKUP($A57,SMPT!$B$6:$B$127,SMPT!$C$6:$C$127),IF($F$1=1.5%,LOOKUP($A57,SMPT!$B$6:$B$127,SMPT!$D$6:$D$127),IF($F$1=1.3%,LOOKUP($A57,SMPT!$B$6:$B$127,SMPT!$E$6:$E$127),LOOKUP($A57,SMPT!$B$6:$B$127,SMPT!$F$6:$F$127))))</f>
        <v>32662.479570996402</v>
      </c>
      <c r="E57" s="58">
        <f t="shared" si="3"/>
        <v>1.4211325895518989E-4</v>
      </c>
      <c r="F57" s="56">
        <f>IF($F$1=1.8%,LOOKUP($A57,SMIC!$B$6:$B$125,SMIC!$C$6:$C$125),IF($F$1=1.5%,LOOKUP($A57,SMIC!$B$6:$B$125,SMIC!$D$6:$D$125),IF($F$1=1.3%,LOOKUP($A57,SMIC!$B$6:$B$125,SMIC!$E$6:$E$125),LOOKUP($A57,SMIC!$B$6:$B$125,SMIC!$F$6:$F$125))))</f>
        <v>15953.122739726026</v>
      </c>
      <c r="G57" s="153">
        <f t="shared" si="1"/>
        <v>0.88928204275751599</v>
      </c>
      <c r="H57" s="357">
        <f t="shared" si="4"/>
        <v>3.101334294987379E-2</v>
      </c>
      <c r="I57" s="666">
        <v>2009</v>
      </c>
      <c r="J57" s="662"/>
      <c r="K57" s="668">
        <f t="shared" si="6"/>
        <v>0.16650000000000001</v>
      </c>
      <c r="L57" s="668">
        <v>9.9000000000000005E-2</v>
      </c>
      <c r="M57" s="668">
        <v>6.7500000000000004E-2</v>
      </c>
      <c r="N57" s="668">
        <f t="shared" si="7"/>
        <v>1.7000000000000001E-2</v>
      </c>
      <c r="O57" s="668">
        <f>IF(Simulation!$D$43="Oui",$Q57,0)</f>
        <v>1.6E-2</v>
      </c>
      <c r="P57" s="668">
        <f>IF(Simulation!$D$43="Oui",$R57,0)</f>
        <v>1E-3</v>
      </c>
      <c r="Q57" s="677">
        <v>1.6E-2</v>
      </c>
      <c r="R57" s="677">
        <v>1E-3</v>
      </c>
      <c r="S57" s="56">
        <f>IF($F$1=1.8%,LOOKUP($A57,Sal_valid!$B$6:$B$127,Sal_valid!$C$6:$C$127),IF($F$1=1.5%,LOOKUP($A57,Sal_valid!$B$6:$B$127,Sal_valid!$D$6:$D$127),IF($F$1=1.3%,LOOKUP($A57,Sal_valid!$B$6:$B$127,Sal_valid!$E$6:$E$127),LOOKUP($A57,Sal_valid!$B$6:$B$127,Sal_valid!$F$6:$F$127))))</f>
        <v>1742</v>
      </c>
      <c r="T57" s="73">
        <f>Revalo_RB!$D69</f>
        <v>9.0661831368994417E-3</v>
      </c>
      <c r="U57" s="73">
        <f>Revalo_RB!$H69</f>
        <v>1.0000000000000009E-2</v>
      </c>
      <c r="V57" s="56">
        <f>IF($F$1=1.8%,LOOKUP($A57,PSS!$B$6:$B$127,PSS!$C$6:$C$127),IF($F$1=1.5%,LOOKUP($A57,PSS!$B$6:$B$127,PSS!$D$6:$D$127),IF($F$1=1.3%,LOOKUP($A57,PSS!$B$6:$B$127,PSS!$E$6:$E$127),LOOKUP($A57,PSS!$B$6:$B$127,PSS!$F$6:$F$127))))</f>
        <v>34308</v>
      </c>
      <c r="W57" s="56">
        <f>IF($F$1=1.8%,LOOKUP($A57,Smic_AVPF!$B$6:$B$104,Smic_AVPF!$C$6:$C$104),IF($F$1=1.5%,LOOKUP($A57,Smic_AVPF!$B$6:$B$104,Smic_AVPF!$D$6:$D$104),IF($F$1=1.3%,LOOKUP($A57,Smic_AVPF!$B$6:$B$104,Smic_AVPF!$E$6:$E$104),LOOKUP($A57,Smic_AVPF!$B$6:$B$104,Smic_AVPF!$F$6:$F$104))))</f>
        <v>17663.879999999997</v>
      </c>
      <c r="X57" s="56">
        <v>7084</v>
      </c>
      <c r="Y57" s="56">
        <v>7664.23</v>
      </c>
      <c r="Z57" s="56"/>
      <c r="AA57" s="337"/>
      <c r="AB57" s="666">
        <v>2009</v>
      </c>
      <c r="AC57" s="672">
        <v>0.06</v>
      </c>
      <c r="AD57" s="673">
        <v>3.5999999999999997E-2</v>
      </c>
      <c r="AE57" s="673">
        <v>2.4000000000000004E-2</v>
      </c>
      <c r="AF57" s="668">
        <v>0.16239999999999999</v>
      </c>
      <c r="AG57" s="668">
        <v>0.1012</v>
      </c>
      <c r="AH57" s="668">
        <v>6.1199999999999991E-2</v>
      </c>
      <c r="AI57" s="337"/>
      <c r="AJ57" s="667">
        <v>1.25</v>
      </c>
      <c r="AK57" s="667">
        <v>1.25</v>
      </c>
      <c r="AL57" s="673">
        <f t="shared" si="13"/>
        <v>3.4999999999999996E-3</v>
      </c>
      <c r="AM57" s="673">
        <f>IF(Simulation!$D$42="Oui",Barèmes!$AO57,0)</f>
        <v>2.1999999999999997E-3</v>
      </c>
      <c r="AN57" s="673">
        <f>IF(Simulation!$D$42="Oui",Barèmes!$AP57,0)</f>
        <v>1.2999999999999999E-3</v>
      </c>
      <c r="AO57" s="677">
        <v>2.1999999999999997E-3</v>
      </c>
      <c r="AP57" s="677">
        <v>1.2999999999999999E-3</v>
      </c>
      <c r="AQ57" s="668">
        <f t="shared" si="8"/>
        <v>0.02</v>
      </c>
      <c r="AR57" s="668">
        <f>IF(Simulation!$D$42="Oui",Barèmes!$AT57,0)</f>
        <v>1.2E-2</v>
      </c>
      <c r="AS57" s="668">
        <f>IF(Simulation!$D$42="Oui",Barèmes!$AU57,0)</f>
        <v>8.0000000000000002E-3</v>
      </c>
      <c r="AT57" s="678">
        <v>1.2E-2</v>
      </c>
      <c r="AU57" s="678">
        <v>8.0000000000000002E-3</v>
      </c>
      <c r="AV57" s="668">
        <f t="shared" si="9"/>
        <v>2.2000000000000002E-2</v>
      </c>
      <c r="AW57" s="668">
        <f>IF(Simulation!$D$42="Oui",Barèmes!$AY57,0)</f>
        <v>1.3000000000000001E-2</v>
      </c>
      <c r="AX57" s="668">
        <f>IF(Simulation!$D$42="Oui",Barèmes!$AZ57,0)</f>
        <v>9.0000000000000011E-3</v>
      </c>
      <c r="AY57" s="678">
        <v>1.3000000000000001E-2</v>
      </c>
      <c r="AZ57" s="678">
        <v>9.0000000000000011E-3</v>
      </c>
      <c r="BA57" s="663"/>
      <c r="BB57" s="685">
        <v>4.9603999999999999</v>
      </c>
      <c r="BC57" s="683">
        <v>14.219799999999999</v>
      </c>
      <c r="BD57" s="664"/>
      <c r="BE57" s="687">
        <v>0.41320000000000001</v>
      </c>
      <c r="BF57" s="687">
        <v>1.1648000000000001</v>
      </c>
      <c r="BG57" s="664"/>
      <c r="BH57" s="687">
        <v>0.4173</v>
      </c>
      <c r="BI57" s="687">
        <v>1.1760999999999999</v>
      </c>
      <c r="BJ57" s="661"/>
      <c r="BK57" s="366"/>
      <c r="BL57" s="666">
        <v>2009</v>
      </c>
      <c r="BM57" s="13">
        <v>61</v>
      </c>
      <c r="BN57" s="661"/>
      <c r="BO57" s="79"/>
      <c r="BP57" s="79"/>
      <c r="BQ57" s="146">
        <v>0</v>
      </c>
      <c r="BR57" s="668">
        <v>4.2999999999999997E-2</v>
      </c>
      <c r="BS57" s="668"/>
      <c r="BT57" s="668">
        <v>7.1000000000000008E-2</v>
      </c>
      <c r="BU57" s="366"/>
      <c r="BV57" s="666">
        <v>2009</v>
      </c>
      <c r="BW57" s="660"/>
      <c r="BX57" s="661"/>
      <c r="BY57" s="79"/>
      <c r="BZ57" s="79"/>
      <c r="CA57" s="6">
        <f t="shared" si="10"/>
        <v>0</v>
      </c>
      <c r="CB57" s="6">
        <f t="shared" si="12"/>
        <v>4.2999999999999997E-2</v>
      </c>
      <c r="CC57" s="6"/>
      <c r="CD57" s="6">
        <f t="shared" si="11"/>
        <v>7.1000000000000008E-2</v>
      </c>
      <c r="CE57" s="690">
        <v>2.9000000000000005E-2</v>
      </c>
      <c r="CG57" s="666">
        <v>2009</v>
      </c>
      <c r="CH57" s="691">
        <v>7.4999999999999997E-2</v>
      </c>
      <c r="CI57" s="692">
        <v>5.0999999999999997E-2</v>
      </c>
      <c r="CJ57" s="313">
        <v>5.0000000000000001E-3</v>
      </c>
      <c r="CK57" s="320">
        <v>0.97</v>
      </c>
      <c r="CL57" s="697">
        <v>7.4999999999999997E-3</v>
      </c>
      <c r="CM57" s="673">
        <v>2.4E-2</v>
      </c>
      <c r="CN57" s="673">
        <v>2.4E-2</v>
      </c>
      <c r="CO57" s="674">
        <v>2.4000000000000001E-4</v>
      </c>
    </row>
    <row r="58" spans="1:93" s="361" customFormat="1" hidden="1" x14ac:dyDescent="0.25">
      <c r="A58" s="666">
        <v>2010</v>
      </c>
      <c r="B58" s="54">
        <f>IF($F$1=1.8%,LOOKUP($A58,Prix!B$6:B$127,Prix!$G$6:$G$127),IF($F$1=1.5%,LOOKUP($A58,Prix!B$6:B$127,Prix!$H$6:$H$127),IF($F$1=1.3%,LOOKUP($A58,Prix!B$6:B$127,Prix!$I$6:$I$127),LOOKUP($A58,Prix!B$6:B$127,Prix!$J$6:$J$127))))</f>
        <v>1.5221352770929286E-2</v>
      </c>
      <c r="C58" s="7">
        <f t="shared" si="0"/>
        <v>0.89076673350520397</v>
      </c>
      <c r="D58" s="56">
        <f>IF($F$1=1.8%,LOOKUP($A58,SMPT!$B$6:$B$127,SMPT!$C$6:$C$127),IF($F$1=1.5%,LOOKUP($A58,SMPT!$B$6:$B$127,SMPT!$D$6:$D$127),IF($F$1=1.3%,LOOKUP($A58,SMPT!$B$6:$B$127,SMPT!$E$6:$E$127),LOOKUP($A58,SMPT!$B$6:$B$127,SMPT!$F$6:$F$127))))</f>
        <v>33535.370487249202</v>
      </c>
      <c r="E58" s="58">
        <f t="shared" si="3"/>
        <v>2.6724575957420837E-2</v>
      </c>
      <c r="F58" s="56">
        <f>IF($F$1=1.8%,LOOKUP($A58,SMIC!$B$6:$B$125,SMIC!$C$6:$C$125),IF($F$1=1.5%,LOOKUP($A58,SMIC!$B$6:$B$125,SMIC!$D$6:$D$125),IF($F$1=1.3%,LOOKUP($A58,SMIC!$B$6:$B$125,SMIC!$E$6:$E$125),LOOKUP($A58,SMIC!$B$6:$B$125,SMIC!$F$6:$F$125))))</f>
        <v>16125.199999999997</v>
      </c>
      <c r="G58" s="153">
        <f t="shared" si="1"/>
        <v>0.91304772825675962</v>
      </c>
      <c r="H58" s="357">
        <f t="shared" si="4"/>
        <v>9.0940888422526012E-3</v>
      </c>
      <c r="I58" s="666">
        <v>2010</v>
      </c>
      <c r="J58" s="662"/>
      <c r="K58" s="668">
        <f t="shared" si="6"/>
        <v>0.16650000000000001</v>
      </c>
      <c r="L58" s="668">
        <v>9.9000000000000005E-2</v>
      </c>
      <c r="M58" s="668">
        <v>6.7500000000000004E-2</v>
      </c>
      <c r="N58" s="668">
        <f t="shared" si="7"/>
        <v>1.7000000000000001E-2</v>
      </c>
      <c r="O58" s="668">
        <f>IF(Simulation!$D$43="Oui",$Q58,0)</f>
        <v>1.6E-2</v>
      </c>
      <c r="P58" s="668">
        <f>IF(Simulation!$D$43="Oui",$R58,0)</f>
        <v>1E-3</v>
      </c>
      <c r="Q58" s="677">
        <v>1.6E-2</v>
      </c>
      <c r="R58" s="677">
        <v>1E-3</v>
      </c>
      <c r="S58" s="56">
        <f>IF($F$1=1.8%,LOOKUP($A58,Sal_valid!$B$6:$B$127,Sal_valid!$C$6:$C$127),IF($F$1=1.5%,LOOKUP($A58,Sal_valid!$B$6:$B$127,Sal_valid!$D$6:$D$127),IF($F$1=1.3%,LOOKUP($A58,Sal_valid!$B$6:$B$127,Sal_valid!$E$6:$E$127),LOOKUP($A58,Sal_valid!$B$6:$B$127,Sal_valid!$F$6:$F$127))))</f>
        <v>1772</v>
      </c>
      <c r="T58" s="73">
        <f>Revalo_RB!$D70</f>
        <v>9.1491308325708509E-3</v>
      </c>
      <c r="U58" s="73">
        <f>Revalo_RB!$H70</f>
        <v>8.999999999999897E-3</v>
      </c>
      <c r="V58" s="56">
        <f>IF($F$1=1.8%,LOOKUP($A58,PSS!$B$6:$B$127,PSS!$C$6:$C$127),IF($F$1=1.5%,LOOKUP($A58,PSS!$B$6:$B$127,PSS!$D$6:$D$127),IF($F$1=1.3%,LOOKUP($A58,PSS!$B$6:$B$127,PSS!$E$6:$E$127),LOOKUP($A58,PSS!$B$6:$B$127,PSS!$F$6:$F$127))))</f>
        <v>34620</v>
      </c>
      <c r="W58" s="56">
        <f>IF($F$1=1.8%,LOOKUP($A58,Smic_AVPF!$B$6:$B$104,Smic_AVPF!$C$6:$C$104),IF($F$1=1.5%,LOOKUP($A58,Smic_AVPF!$B$6:$B$104,Smic_AVPF!$D$6:$D$104),IF($F$1=1.3%,LOOKUP($A58,Smic_AVPF!$B$6:$B$104,Smic_AVPF!$E$6:$E$104),LOOKUP($A58,Smic_AVPF!$B$6:$B$104,Smic_AVPF!$F$6:$F$104))))</f>
        <v>17886.96</v>
      </c>
      <c r="X58" s="56">
        <v>7147.75</v>
      </c>
      <c r="Y58" s="56">
        <v>7740.87</v>
      </c>
      <c r="Z58" s="56"/>
      <c r="AA58" s="337"/>
      <c r="AB58" s="666">
        <v>2010</v>
      </c>
      <c r="AC58" s="672">
        <v>0.06</v>
      </c>
      <c r="AD58" s="673">
        <v>3.5999999999999997E-2</v>
      </c>
      <c r="AE58" s="673">
        <v>2.4000000000000004E-2</v>
      </c>
      <c r="AF58" s="668">
        <v>0.16239999999999999</v>
      </c>
      <c r="AG58" s="668">
        <v>0.1012</v>
      </c>
      <c r="AH58" s="668">
        <v>6.1199999999999991E-2</v>
      </c>
      <c r="AI58" s="337"/>
      <c r="AJ58" s="667">
        <v>1.25</v>
      </c>
      <c r="AK58" s="667">
        <v>1.25</v>
      </c>
      <c r="AL58" s="673">
        <f t="shared" si="13"/>
        <v>3.4999999999999996E-3</v>
      </c>
      <c r="AM58" s="673">
        <f>IF(Simulation!$D$42="Oui",Barèmes!$AO58,0)</f>
        <v>2.1999999999999997E-3</v>
      </c>
      <c r="AN58" s="673">
        <f>IF(Simulation!$D$42="Oui",Barèmes!$AP58,0)</f>
        <v>1.2999999999999999E-3</v>
      </c>
      <c r="AO58" s="677">
        <v>2.1999999999999997E-3</v>
      </c>
      <c r="AP58" s="677">
        <v>1.2999999999999999E-3</v>
      </c>
      <c r="AQ58" s="668">
        <f t="shared" si="8"/>
        <v>0.02</v>
      </c>
      <c r="AR58" s="668">
        <f>IF(Simulation!$D$42="Oui",Barèmes!$AT58,0)</f>
        <v>1.2E-2</v>
      </c>
      <c r="AS58" s="668">
        <f>IF(Simulation!$D$42="Oui",Barèmes!$AU58,0)</f>
        <v>8.0000000000000002E-3</v>
      </c>
      <c r="AT58" s="678">
        <v>1.2E-2</v>
      </c>
      <c r="AU58" s="678">
        <v>8.0000000000000002E-3</v>
      </c>
      <c r="AV58" s="668">
        <f t="shared" si="9"/>
        <v>2.2000000000000002E-2</v>
      </c>
      <c r="AW58" s="668">
        <f>IF(Simulation!$D$42="Oui",Barèmes!$AY58,0)</f>
        <v>1.3000000000000001E-2</v>
      </c>
      <c r="AX58" s="668">
        <f>IF(Simulation!$D$42="Oui",Barèmes!$AZ58,0)</f>
        <v>9.0000000000000011E-3</v>
      </c>
      <c r="AY58" s="678">
        <v>1.3000000000000001E-2</v>
      </c>
      <c r="AZ58" s="678">
        <v>9.0000000000000011E-3</v>
      </c>
      <c r="BA58" s="663"/>
      <c r="BB58" s="685">
        <v>5.0248999999999997</v>
      </c>
      <c r="BC58" s="683">
        <v>14.4047</v>
      </c>
      <c r="BD58" s="664"/>
      <c r="BE58" s="687">
        <v>0.41860000000000003</v>
      </c>
      <c r="BF58" s="687">
        <v>1.1798999999999999</v>
      </c>
      <c r="BG58" s="664"/>
      <c r="BH58" s="687">
        <v>0.42085</v>
      </c>
      <c r="BI58" s="687">
        <v>1.1862999999999999</v>
      </c>
      <c r="BJ58" s="661"/>
      <c r="BK58" s="366"/>
      <c r="BL58" s="666">
        <v>2010</v>
      </c>
      <c r="BM58" s="13">
        <v>61</v>
      </c>
      <c r="BN58" s="661"/>
      <c r="BO58" s="79"/>
      <c r="BP58" s="79"/>
      <c r="BQ58" s="146">
        <v>0</v>
      </c>
      <c r="BR58" s="668">
        <v>4.2999999999999997E-2</v>
      </c>
      <c r="BS58" s="668"/>
      <c r="BT58" s="668">
        <v>7.1000000000000008E-2</v>
      </c>
      <c r="BU58" s="366"/>
      <c r="BV58" s="666">
        <v>2010</v>
      </c>
      <c r="BW58" s="660"/>
      <c r="BX58" s="661"/>
      <c r="BY58" s="79"/>
      <c r="BZ58" s="79"/>
      <c r="CA58" s="6">
        <f t="shared" si="10"/>
        <v>0</v>
      </c>
      <c r="CB58" s="6">
        <f t="shared" si="12"/>
        <v>4.2999999999999997E-2</v>
      </c>
      <c r="CC58" s="6"/>
      <c r="CD58" s="6">
        <f t="shared" si="11"/>
        <v>7.1000000000000008E-2</v>
      </c>
      <c r="CE58" s="690">
        <v>2.9000000000000005E-2</v>
      </c>
      <c r="CG58" s="666">
        <v>2010</v>
      </c>
      <c r="CH58" s="691">
        <v>7.4999999999999997E-2</v>
      </c>
      <c r="CI58" s="692">
        <v>5.0999999999999997E-2</v>
      </c>
      <c r="CJ58" s="313">
        <v>5.0000000000000001E-3</v>
      </c>
      <c r="CK58" s="320">
        <v>0.97</v>
      </c>
      <c r="CL58" s="697">
        <v>7.4999999999999997E-3</v>
      </c>
      <c r="CM58" s="673">
        <v>2.4E-2</v>
      </c>
      <c r="CN58" s="673">
        <v>2.4E-2</v>
      </c>
      <c r="CO58" s="674">
        <v>2.4000000000000001E-4</v>
      </c>
    </row>
    <row r="59" spans="1:93" s="361" customFormat="1" hidden="1" x14ac:dyDescent="0.25">
      <c r="A59" s="666">
        <v>2011</v>
      </c>
      <c r="B59" s="54">
        <f>IF($F$1=1.8%,LOOKUP($A59,Prix!B$6:B$127,Prix!$G$6:$G$127),IF($F$1=1.5%,LOOKUP($A59,Prix!B$6:B$127,Prix!$H$6:$H$127),IF($F$1=1.3%,LOOKUP($A59,Prix!B$6:B$127,Prix!$I$6:$I$127),LOOKUP($A59,Prix!B$6:B$127,Prix!$J$6:$J$127))))</f>
        <v>2.1117094287826044E-2</v>
      </c>
      <c r="C59" s="7">
        <f t="shared" si="0"/>
        <v>0.90432540819249507</v>
      </c>
      <c r="D59" s="56">
        <f>IF($F$1=1.8%,LOOKUP($A59,SMPT!$B$6:$B$127,SMPT!$C$6:$C$127),IF($F$1=1.5%,LOOKUP($A59,SMPT!$B$6:$B$127,SMPT!$D$6:$D$127),IF($F$1=1.3%,LOOKUP($A59,SMPT!$B$6:$B$127,SMPT!$E$6:$E$127),LOOKUP($A59,SMPT!$B$6:$B$127,SMPT!$F$6:$F$127))))</f>
        <v>33964.654680651372</v>
      </c>
      <c r="E59" s="58">
        <f t="shared" si="3"/>
        <v>1.2800937850541816E-2</v>
      </c>
      <c r="F59" s="56">
        <f>IF($F$1=1.8%,LOOKUP($A59,SMIC!$B$6:$B$125,SMIC!$C$6:$C$125),IF($F$1=1.5%,LOOKUP($A59,SMIC!$B$6:$B$125,SMIC!$D$6:$D$125),IF($F$1=1.3%,LOOKUP($A59,SMIC!$B$6:$B$125,SMIC!$E$6:$E$125),LOOKUP($A59,SMIC!$B$6:$B$125,SMIC!$F$6:$F$125))))</f>
        <v>16409.369315068492</v>
      </c>
      <c r="G59" s="153">
        <f t="shared" si="1"/>
        <v>0.92473559548075279</v>
      </c>
      <c r="H59" s="357">
        <f t="shared" si="4"/>
        <v>2.1143847487001821E-2</v>
      </c>
      <c r="I59" s="666">
        <v>2011</v>
      </c>
      <c r="J59" s="662"/>
      <c r="K59" s="668">
        <f t="shared" si="6"/>
        <v>0.16650000000000001</v>
      </c>
      <c r="L59" s="668">
        <v>9.9000000000000005E-2</v>
      </c>
      <c r="M59" s="668">
        <v>6.7500000000000004E-2</v>
      </c>
      <c r="N59" s="668">
        <f t="shared" si="7"/>
        <v>1.7000000000000001E-2</v>
      </c>
      <c r="O59" s="668">
        <f>IF(Simulation!$D$43="Oui",$Q59,0)</f>
        <v>1.6E-2</v>
      </c>
      <c r="P59" s="668">
        <f>IF(Simulation!$D$43="Oui",$R59,0)</f>
        <v>1E-3</v>
      </c>
      <c r="Q59" s="677">
        <v>1.6E-2</v>
      </c>
      <c r="R59" s="677">
        <v>1E-3</v>
      </c>
      <c r="S59" s="56">
        <f>IF($F$1=1.8%,LOOKUP($A59,Sal_valid!$B$6:$B$127,Sal_valid!$C$6:$C$127),IF($F$1=1.5%,LOOKUP($A59,Sal_valid!$B$6:$B$127,Sal_valid!$D$6:$D$127),IF($F$1=1.3%,LOOKUP($A59,Sal_valid!$B$6:$B$127,Sal_valid!$E$6:$E$127),LOOKUP($A59,Sal_valid!$B$6:$B$127,Sal_valid!$F$6:$F$127))))</f>
        <v>1800</v>
      </c>
      <c r="T59" s="73">
        <f>Revalo_RB!$D71</f>
        <v>1.9589552238805874E-2</v>
      </c>
      <c r="U59" s="73">
        <f>Revalo_RB!$H71</f>
        <v>2.1000000000000001E-2</v>
      </c>
      <c r="V59" s="56">
        <f>IF($F$1=1.8%,LOOKUP($A59,PSS!$B$6:$B$127,PSS!$C$6:$C$127),IF($F$1=1.5%,LOOKUP($A59,PSS!$B$6:$B$127,PSS!$D$6:$D$127),IF($F$1=1.3%,LOOKUP($A59,PSS!$B$6:$B$127,PSS!$E$6:$E$127),LOOKUP($A59,PSS!$B$6:$B$127,PSS!$F$6:$F$127))))</f>
        <v>35352</v>
      </c>
      <c r="W59" s="56">
        <f>IF($F$1=1.8%,LOOKUP($A59,Smic_AVPF!$B$6:$B$104,Smic_AVPF!$C$6:$C$104),IF($F$1=1.5%,LOOKUP($A59,Smic_AVPF!$B$6:$B$104,Smic_AVPF!$D$6:$D$104),IF($F$1=1.3%,LOOKUP($A59,Smic_AVPF!$B$6:$B$104,Smic_AVPF!$E$6:$E$104),LOOKUP($A59,Smic_AVPF!$B$6:$B$104,Smic_AVPF!$F$6:$F$104))))</f>
        <v>17968.079999999998</v>
      </c>
      <c r="X59" s="56">
        <v>7297.85</v>
      </c>
      <c r="Y59" s="56">
        <v>7810.53</v>
      </c>
      <c r="Z59" s="56"/>
      <c r="AA59" s="337"/>
      <c r="AB59" s="666">
        <v>2011</v>
      </c>
      <c r="AC59" s="672">
        <v>0.06</v>
      </c>
      <c r="AD59" s="673">
        <v>3.5999999999999997E-2</v>
      </c>
      <c r="AE59" s="673">
        <v>2.4000000000000004E-2</v>
      </c>
      <c r="AF59" s="668">
        <v>0.16239999999999999</v>
      </c>
      <c r="AG59" s="668">
        <v>0.1012</v>
      </c>
      <c r="AH59" s="668">
        <v>6.1199999999999991E-2</v>
      </c>
      <c r="AI59" s="337"/>
      <c r="AJ59" s="667">
        <v>1.25</v>
      </c>
      <c r="AK59" s="667">
        <v>1.25</v>
      </c>
      <c r="AL59" s="673">
        <f t="shared" si="13"/>
        <v>3.4999999999999996E-3</v>
      </c>
      <c r="AM59" s="673">
        <f>IF(Simulation!$D$42="Oui",Barèmes!$AO59,0)</f>
        <v>2.1999999999999997E-3</v>
      </c>
      <c r="AN59" s="673">
        <f>IF(Simulation!$D$42="Oui",Barèmes!$AP59,0)</f>
        <v>1.2999999999999999E-3</v>
      </c>
      <c r="AO59" s="677">
        <v>2.1999999999999997E-3</v>
      </c>
      <c r="AP59" s="677">
        <v>1.2999999999999999E-3</v>
      </c>
      <c r="AQ59" s="668">
        <f t="shared" si="8"/>
        <v>0.02</v>
      </c>
      <c r="AR59" s="668">
        <f>IF(Simulation!$D$42="Oui",Barèmes!$AT59,0)</f>
        <v>1.2E-2</v>
      </c>
      <c r="AS59" s="668">
        <f>IF(Simulation!$D$42="Oui",Barèmes!$AU59,0)</f>
        <v>8.0000000000000002E-3</v>
      </c>
      <c r="AT59" s="678">
        <v>1.2E-2</v>
      </c>
      <c r="AU59" s="678">
        <v>8.0000000000000002E-3</v>
      </c>
      <c r="AV59" s="668">
        <f t="shared" si="9"/>
        <v>2.2000000000000002E-2</v>
      </c>
      <c r="AW59" s="668">
        <f>IF(Simulation!$D$42="Oui",Barèmes!$AY59,0)</f>
        <v>1.3000000000000001E-2</v>
      </c>
      <c r="AX59" s="668">
        <f>IF(Simulation!$D$42="Oui",Barèmes!$AZ59,0)</f>
        <v>9.0000000000000011E-3</v>
      </c>
      <c r="AY59" s="678">
        <v>1.3000000000000001E-2</v>
      </c>
      <c r="AZ59" s="678">
        <v>9.0000000000000011E-3</v>
      </c>
      <c r="BA59" s="663"/>
      <c r="BB59" s="685">
        <v>5.1353999999999997</v>
      </c>
      <c r="BC59" s="683">
        <v>14.7216</v>
      </c>
      <c r="BD59" s="664"/>
      <c r="BE59" s="687">
        <v>0.42159999999999997</v>
      </c>
      <c r="BF59" s="687">
        <v>1.1883999999999999</v>
      </c>
      <c r="BG59" s="664"/>
      <c r="BH59" s="687">
        <v>0.4229</v>
      </c>
      <c r="BI59" s="687">
        <v>1.2072000000000001</v>
      </c>
      <c r="BJ59" s="661"/>
      <c r="BK59" s="366"/>
      <c r="BL59" s="666">
        <v>2011</v>
      </c>
      <c r="BM59" s="13">
        <v>61</v>
      </c>
      <c r="BN59" s="661"/>
      <c r="BO59" s="79"/>
      <c r="BP59" s="79"/>
      <c r="BQ59" s="146">
        <v>0</v>
      </c>
      <c r="BR59" s="668">
        <v>4.2999999999999997E-2</v>
      </c>
      <c r="BS59" s="668"/>
      <c r="BT59" s="668">
        <v>7.1000000000000008E-2</v>
      </c>
      <c r="BU59" s="366"/>
      <c r="BV59" s="666">
        <v>2011</v>
      </c>
      <c r="BW59" s="660"/>
      <c r="BX59" s="661"/>
      <c r="BY59" s="79"/>
      <c r="BZ59" s="79"/>
      <c r="CA59" s="6">
        <f t="shared" si="10"/>
        <v>0</v>
      </c>
      <c r="CB59" s="6">
        <f t="shared" si="12"/>
        <v>4.2999999999999997E-2</v>
      </c>
      <c r="CC59" s="6"/>
      <c r="CD59" s="6">
        <f t="shared" si="11"/>
        <v>7.1000000000000008E-2</v>
      </c>
      <c r="CE59" s="690">
        <v>2.9000000000000005E-2</v>
      </c>
      <c r="CG59" s="666">
        <v>2011</v>
      </c>
      <c r="CH59" s="691">
        <v>7.4999999999999997E-2</v>
      </c>
      <c r="CI59" s="692">
        <v>5.0999999999999997E-2</v>
      </c>
      <c r="CJ59" s="313">
        <v>5.0000000000000001E-3</v>
      </c>
      <c r="CK59" s="320">
        <v>0.97</v>
      </c>
      <c r="CL59" s="697">
        <v>7.4999999999999997E-3</v>
      </c>
      <c r="CM59" s="673">
        <v>2.4E-2</v>
      </c>
      <c r="CN59" s="673">
        <v>2.4E-2</v>
      </c>
      <c r="CO59" s="674">
        <v>2.4000000000000001E-4</v>
      </c>
    </row>
    <row r="60" spans="1:93" s="361" customFormat="1" hidden="1" x14ac:dyDescent="0.25">
      <c r="A60" s="666">
        <v>2012</v>
      </c>
      <c r="B60" s="54">
        <f>IF($F$1=1.8%,LOOKUP($A60,Prix!B$6:B$127,Prix!$G$6:$G$127),IF($F$1=1.5%,LOOKUP($A60,Prix!B$6:B$127,Prix!$H$6:$H$127),IF($F$1=1.3%,LOOKUP($A60,Prix!B$6:B$127,Prix!$I$6:$I$127),LOOKUP($A60,Prix!B$6:B$127,Prix!$J$6:$J$127))))</f>
        <v>1.9542963499121102E-2</v>
      </c>
      <c r="C60" s="7">
        <f t="shared" si="0"/>
        <v>0.92342213310417276</v>
      </c>
      <c r="D60" s="56">
        <f>IF($F$1=1.8%,LOOKUP($A60,SMPT!$B$6:$B$127,SMPT!$C$6:$C$127),IF($F$1=1.5%,LOOKUP($A60,SMPT!$B$6:$B$127,SMPT!$D$6:$D$127),IF($F$1=1.3%,LOOKUP($A60,SMPT!$B$6:$B$127,SMPT!$E$6:$E$127),LOOKUP($A60,SMPT!$B$6:$B$127,SMPT!$F$6:$F$127))))</f>
        <v>34475.16898518063</v>
      </c>
      <c r="E60" s="58">
        <f t="shared" si="3"/>
        <v>1.5030752095945177E-2</v>
      </c>
      <c r="F60" s="56">
        <f>IF($F$1=1.8%,LOOKUP($A60,SMIC!$B$6:$B$125,SMIC!$C$6:$C$125),IF($F$1=1.5%,LOOKUP($A60,SMIC!$B$6:$B$125,SMIC!$D$6:$D$125),IF($F$1=1.3%,LOOKUP($A60,SMIC!$B$6:$B$125,SMIC!$E$6:$E$125),LOOKUP($A60,SMIC!$B$6:$B$125,SMIC!$F$6:$F$125))))</f>
        <v>16945.095081967211</v>
      </c>
      <c r="G60" s="153">
        <f t="shared" si="1"/>
        <v>0.9386350669707203</v>
      </c>
      <c r="H60" s="357">
        <f t="shared" si="4"/>
        <v>2.8852681602172359E-2</v>
      </c>
      <c r="I60" s="666">
        <v>2012</v>
      </c>
      <c r="J60" s="662"/>
      <c r="K60" s="668">
        <f t="shared" si="6"/>
        <v>0.16650000000000001</v>
      </c>
      <c r="L60" s="668">
        <v>9.9000000000000005E-2</v>
      </c>
      <c r="M60" s="668">
        <v>6.7500000000000004E-2</v>
      </c>
      <c r="N60" s="668">
        <f t="shared" si="7"/>
        <v>1.7000000000000001E-2</v>
      </c>
      <c r="O60" s="668">
        <f>IF(Simulation!$D$43="Oui",$Q60,0)</f>
        <v>1.6E-2</v>
      </c>
      <c r="P60" s="668">
        <f>IF(Simulation!$D$43="Oui",$R60,0)</f>
        <v>1E-3</v>
      </c>
      <c r="Q60" s="677">
        <v>1.6E-2</v>
      </c>
      <c r="R60" s="677">
        <v>1E-3</v>
      </c>
      <c r="S60" s="56">
        <f>IF($F$1=1.8%,LOOKUP($A60,Sal_valid!$B$6:$B$127,Sal_valid!$C$6:$C$127),IF($F$1=1.5%,LOOKUP($A60,Sal_valid!$B$6:$B$127,Sal_valid!$D$6:$D$127),IF($F$1=1.3%,LOOKUP($A60,Sal_valid!$B$6:$B$127,Sal_valid!$E$6:$E$127),LOOKUP($A60,Sal_valid!$B$6:$B$127,Sal_valid!$F$6:$F$127))))</f>
        <v>1844</v>
      </c>
      <c r="T60" s="73">
        <f>Revalo_RB!$D72</f>
        <v>1.9980970504281714E-2</v>
      </c>
      <c r="U60" s="73">
        <f>Revalo_RB!$H72</f>
        <v>2.1000000000000001E-2</v>
      </c>
      <c r="V60" s="56">
        <f>IF($F$1=1.8%,LOOKUP($A60,PSS!$B$6:$B$127,PSS!$C$6:$C$127),IF($F$1=1.5%,LOOKUP($A60,PSS!$B$6:$B$127,PSS!$D$6:$D$127),IF($F$1=1.3%,LOOKUP($A60,PSS!$B$6:$B$127,PSS!$E$6:$E$127),LOOKUP($A60,PSS!$B$6:$B$127,PSS!$F$6:$F$127))))</f>
        <v>36372</v>
      </c>
      <c r="W60" s="56">
        <f>IF($F$1=1.8%,LOOKUP($A60,Smic_AVPF!$B$6:$B$104,Smic_AVPF!$C$6:$C$104),IF($F$1=1.5%,LOOKUP($A60,Smic_AVPF!$B$6:$B$104,Smic_AVPF!$D$6:$D$104),IF($F$1=1.3%,LOOKUP($A60,Smic_AVPF!$B$6:$B$104,Smic_AVPF!$E$6:$E$104),LOOKUP($A60,Smic_AVPF!$B$6:$B$104,Smic_AVPF!$F$6:$F$104))))</f>
        <v>18252</v>
      </c>
      <c r="X60" s="56">
        <v>7451.1</v>
      </c>
      <c r="Y60" s="56">
        <v>7974.55</v>
      </c>
      <c r="Z60" s="56">
        <f t="shared" ref="Z60:Z64" si="14">Z61/Y61*Y60</f>
        <v>13604.93873099661</v>
      </c>
      <c r="AA60" s="337"/>
      <c r="AB60" s="666">
        <v>2012</v>
      </c>
      <c r="AC60" s="672">
        <v>0.06</v>
      </c>
      <c r="AD60" s="673">
        <v>3.5999999999999997E-2</v>
      </c>
      <c r="AE60" s="673">
        <v>2.4000000000000004E-2</v>
      </c>
      <c r="AF60" s="668">
        <v>0.16239999999999999</v>
      </c>
      <c r="AG60" s="668">
        <v>0.1012</v>
      </c>
      <c r="AH60" s="668">
        <v>6.1199999999999991E-2</v>
      </c>
      <c r="AI60" s="337"/>
      <c r="AJ60" s="667">
        <v>1.25</v>
      </c>
      <c r="AK60" s="667">
        <v>1.25</v>
      </c>
      <c r="AL60" s="673">
        <f t="shared" si="13"/>
        <v>3.4999999999999996E-3</v>
      </c>
      <c r="AM60" s="673">
        <f>IF(Simulation!$D$42="Oui",Barèmes!$AO60,0)</f>
        <v>2.1999999999999997E-3</v>
      </c>
      <c r="AN60" s="673">
        <f>IF(Simulation!$D$42="Oui",Barèmes!$AP60,0)</f>
        <v>1.2999999999999999E-3</v>
      </c>
      <c r="AO60" s="677">
        <v>2.1999999999999997E-3</v>
      </c>
      <c r="AP60" s="677">
        <v>1.2999999999999999E-3</v>
      </c>
      <c r="AQ60" s="668">
        <f t="shared" si="8"/>
        <v>0.02</v>
      </c>
      <c r="AR60" s="668">
        <f>IF(Simulation!$D$42="Oui",Barèmes!$AT60,0)</f>
        <v>1.2E-2</v>
      </c>
      <c r="AS60" s="668">
        <f>IF(Simulation!$D$42="Oui",Barèmes!$AU60,0)</f>
        <v>8.0000000000000002E-3</v>
      </c>
      <c r="AT60" s="678">
        <v>1.2E-2</v>
      </c>
      <c r="AU60" s="678">
        <v>8.0000000000000002E-3</v>
      </c>
      <c r="AV60" s="668">
        <f t="shared" si="9"/>
        <v>2.2000000000000002E-2</v>
      </c>
      <c r="AW60" s="668">
        <f>IF(Simulation!$D$42="Oui",Barèmes!$AY60,0)</f>
        <v>1.3000000000000001E-2</v>
      </c>
      <c r="AX60" s="668">
        <f>IF(Simulation!$D$42="Oui",Barèmes!$AZ60,0)</f>
        <v>9.0000000000000011E-3</v>
      </c>
      <c r="AY60" s="678">
        <v>1.3000000000000001E-2</v>
      </c>
      <c r="AZ60" s="678">
        <v>9.0000000000000011E-3</v>
      </c>
      <c r="BA60" s="663"/>
      <c r="BB60" s="685">
        <v>5.2508999999999997</v>
      </c>
      <c r="BC60" s="683">
        <v>15.0528</v>
      </c>
      <c r="BD60" s="664"/>
      <c r="BE60" s="687">
        <v>0.42330000000000001</v>
      </c>
      <c r="BF60" s="687">
        <v>1.2135</v>
      </c>
      <c r="BG60" s="664"/>
      <c r="BH60" s="687">
        <v>0.43059999999999998</v>
      </c>
      <c r="BI60" s="687">
        <v>1.2343999999999999</v>
      </c>
      <c r="BJ60" s="661"/>
      <c r="BK60" s="366"/>
      <c r="BL60" s="666">
        <v>2012</v>
      </c>
      <c r="BM60" s="13">
        <v>61</v>
      </c>
      <c r="BN60" s="661"/>
      <c r="BO60" s="79"/>
      <c r="BP60" s="79"/>
      <c r="BQ60" s="146">
        <v>0</v>
      </c>
      <c r="BR60" s="668">
        <v>4.2999999999999997E-2</v>
      </c>
      <c r="BS60" s="668"/>
      <c r="BT60" s="668">
        <v>7.1000000000000008E-2</v>
      </c>
      <c r="BU60" s="366"/>
      <c r="BV60" s="666">
        <v>2012</v>
      </c>
      <c r="BW60" s="660"/>
      <c r="BX60" s="661"/>
      <c r="BY60" s="79"/>
      <c r="BZ60" s="79"/>
      <c r="CA60" s="6">
        <f t="shared" si="10"/>
        <v>0</v>
      </c>
      <c r="CB60" s="6">
        <f t="shared" si="12"/>
        <v>4.2999999999999997E-2</v>
      </c>
      <c r="CC60" s="6"/>
      <c r="CD60" s="6">
        <f t="shared" si="11"/>
        <v>7.1000000000000008E-2</v>
      </c>
      <c r="CE60" s="690">
        <v>2.9000000000000005E-2</v>
      </c>
      <c r="CG60" s="666">
        <v>2012</v>
      </c>
      <c r="CH60" s="691">
        <v>7.4999999999999997E-2</v>
      </c>
      <c r="CI60" s="692">
        <v>5.0999999999999997E-2</v>
      </c>
      <c r="CJ60" s="313">
        <v>5.0000000000000001E-3</v>
      </c>
      <c r="CK60" s="320">
        <v>0.98250000000000004</v>
      </c>
      <c r="CL60" s="697">
        <v>7.4999999999999997E-3</v>
      </c>
      <c r="CM60" s="673">
        <v>2.4E-2</v>
      </c>
      <c r="CN60" s="673">
        <v>2.4E-2</v>
      </c>
      <c r="CO60" s="674">
        <v>2.4000000000000001E-4</v>
      </c>
    </row>
    <row r="61" spans="1:93" s="361" customFormat="1" hidden="1" x14ac:dyDescent="0.25">
      <c r="A61" s="666">
        <v>2013</v>
      </c>
      <c r="B61" s="54">
        <f>IF($F$1=1.8%,LOOKUP($A61,Prix!B$6:B$127,Prix!$G$6:$G$127),IF($F$1=1.5%,LOOKUP($A61,Prix!B$6:B$127,Prix!$H$6:$H$127),IF($F$1=1.3%,LOOKUP($A61,Prix!B$6:B$127,Prix!$I$6:$I$127),LOOKUP($A61,Prix!B$6:B$127,Prix!$J$6:$J$127))))</f>
        <v>8.722109533468414E-3</v>
      </c>
      <c r="C61" s="7">
        <f t="shared" si="0"/>
        <v>0.94146853814570819</v>
      </c>
      <c r="D61" s="56">
        <f>IF($F$1=1.8%,LOOKUP($A61,SMPT!$B$6:$B$127,SMPT!$C$6:$C$127),IF($F$1=1.5%,LOOKUP($A61,SMPT!$B$6:$B$127,SMPT!$D$6:$D$127),IF($F$1=1.3%,LOOKUP($A61,SMPT!$B$6:$B$127,SMPT!$E$6:$E$127),LOOKUP($A61,SMPT!$B$6:$B$127,SMPT!$F$6:$F$127))))</f>
        <v>34680.256436426644</v>
      </c>
      <c r="E61" s="58">
        <f t="shared" si="3"/>
        <v>5.9488454236198418E-3</v>
      </c>
      <c r="F61" s="56">
        <f>IF($F$1=1.8%,LOOKUP($A61,SMIC!$B$6:$B$125,SMIC!$C$6:$C$125),IF($F$1=1.5%,LOOKUP($A61,SMIC!$B$6:$B$125,SMIC!$D$6:$D$125),IF($F$1=1.3%,LOOKUP($A61,SMIC!$B$6:$B$125,SMIC!$E$6:$E$125),LOOKUP($A61,SMIC!$B$6:$B$125,SMIC!$F$6:$F$125))))</f>
        <v>17162.599999999999</v>
      </c>
      <c r="G61" s="153">
        <f t="shared" si="1"/>
        <v>0.94421886189331816</v>
      </c>
      <c r="H61" s="357">
        <f t="shared" si="4"/>
        <v>1.8145826459914138E-2</v>
      </c>
      <c r="I61" s="666">
        <v>2013</v>
      </c>
      <c r="J61" s="662"/>
      <c r="K61" s="668">
        <f t="shared" si="6"/>
        <v>0.16850000000000001</v>
      </c>
      <c r="L61" s="668">
        <v>0.1</v>
      </c>
      <c r="M61" s="668">
        <v>6.8500000000000005E-2</v>
      </c>
      <c r="N61" s="668">
        <f t="shared" si="7"/>
        <v>1.7000000000000001E-2</v>
      </c>
      <c r="O61" s="668">
        <f>IF(Simulation!$D$43="Oui",$Q61,0)</f>
        <v>1.6E-2</v>
      </c>
      <c r="P61" s="668">
        <f>IF(Simulation!$D$43="Oui",$R61,0)</f>
        <v>1E-3</v>
      </c>
      <c r="Q61" s="677">
        <v>1.6E-2</v>
      </c>
      <c r="R61" s="677">
        <v>1E-3</v>
      </c>
      <c r="S61" s="56">
        <f>IF($F$1=1.8%,LOOKUP($A61,Sal_valid!$B$6:$B$127,Sal_valid!$C$6:$C$127),IF($F$1=1.5%,LOOKUP($A61,Sal_valid!$B$6:$B$127,Sal_valid!$D$6:$D$127),IF($F$1=1.3%,LOOKUP($A61,Sal_valid!$B$6:$B$127,Sal_valid!$E$6:$E$127),LOOKUP($A61,Sal_valid!$B$6:$B$127,Sal_valid!$F$6:$F$127))))</f>
        <v>1886</v>
      </c>
      <c r="T61" s="73">
        <f>Revalo_RB!$D73</f>
        <v>1.2524084778420042E-2</v>
      </c>
      <c r="U61" s="73">
        <f>Revalo_RB!$H73</f>
        <v>1.2999999999999999E-2</v>
      </c>
      <c r="V61" s="56">
        <f>IF($F$1=1.8%,LOOKUP($A61,PSS!$B$6:$B$127,PSS!$C$6:$C$127),IF($F$1=1.5%,LOOKUP($A61,PSS!$B$6:$B$127,PSS!$D$6:$D$127),IF($F$1=1.3%,LOOKUP($A61,PSS!$B$6:$B$127,PSS!$E$6:$E$127),LOOKUP($A61,PSS!$B$6:$B$127,PSS!$F$6:$F$127))))</f>
        <v>37032</v>
      </c>
      <c r="W61" s="56">
        <f>IF($F$1=1.8%,LOOKUP($A61,Smic_AVPF!$B$6:$B$104,Smic_AVPF!$C$6:$C$104),IF($F$1=1.5%,LOOKUP($A61,Smic_AVPF!$B$6:$B$104,Smic_AVPF!$D$6:$D$104),IF($F$1=1.3%,LOOKUP($A61,Smic_AVPF!$B$6:$B$104,Smic_AVPF!$E$6:$E$104),LOOKUP($A61,Smic_AVPF!$B$6:$B$104,Smic_AVPF!$F$6:$F$104))))</f>
        <v>19063.2</v>
      </c>
      <c r="X61" s="56">
        <v>7547.96</v>
      </c>
      <c r="Y61" s="56">
        <v>8142.01</v>
      </c>
      <c r="Z61" s="56">
        <f t="shared" si="14"/>
        <v>13890.632975799475</v>
      </c>
      <c r="AA61" s="337"/>
      <c r="AB61" s="666">
        <v>2013</v>
      </c>
      <c r="AC61" s="672">
        <v>0.06</v>
      </c>
      <c r="AD61" s="673">
        <v>3.5999999999999997E-2</v>
      </c>
      <c r="AE61" s="673">
        <v>2.4000000000000004E-2</v>
      </c>
      <c r="AF61" s="668">
        <v>0.16239999999999999</v>
      </c>
      <c r="AG61" s="668">
        <v>0.1012</v>
      </c>
      <c r="AH61" s="668">
        <v>6.1199999999999991E-2</v>
      </c>
      <c r="AI61" s="337"/>
      <c r="AJ61" s="667">
        <v>1.25</v>
      </c>
      <c r="AK61" s="667">
        <v>1.25</v>
      </c>
      <c r="AL61" s="673">
        <f t="shared" si="13"/>
        <v>3.4999999999999996E-3</v>
      </c>
      <c r="AM61" s="673">
        <f>IF(Simulation!$D$42="Oui",Barèmes!$AO61,0)</f>
        <v>2.1999999999999997E-3</v>
      </c>
      <c r="AN61" s="673">
        <f>IF(Simulation!$D$42="Oui",Barèmes!$AP61,0)</f>
        <v>1.2999999999999999E-3</v>
      </c>
      <c r="AO61" s="677">
        <v>2.1999999999999997E-3</v>
      </c>
      <c r="AP61" s="677">
        <v>1.2999999999999999E-3</v>
      </c>
      <c r="AQ61" s="668">
        <f t="shared" ref="AQ61:AQ124" si="15">AR61+AS61</f>
        <v>0.02</v>
      </c>
      <c r="AR61" s="668">
        <f>IF(Simulation!$D$42="Oui",Barèmes!$AT61,0)</f>
        <v>1.2E-2</v>
      </c>
      <c r="AS61" s="668">
        <f>IF(Simulation!$D$42="Oui",Barèmes!$AU61,0)</f>
        <v>8.0000000000000002E-3</v>
      </c>
      <c r="AT61" s="678">
        <v>1.2E-2</v>
      </c>
      <c r="AU61" s="678">
        <v>8.0000000000000002E-3</v>
      </c>
      <c r="AV61" s="668">
        <f t="shared" si="9"/>
        <v>2.2000000000000002E-2</v>
      </c>
      <c r="AW61" s="668">
        <f>IF(Simulation!$D$42="Oui",Barèmes!$AY61,0)</f>
        <v>1.3000000000000001E-2</v>
      </c>
      <c r="AX61" s="668">
        <f>IF(Simulation!$D$42="Oui",Barèmes!$AZ61,0)</f>
        <v>9.0000000000000011E-3</v>
      </c>
      <c r="AY61" s="678">
        <v>1.3000000000000001E-2</v>
      </c>
      <c r="AZ61" s="678">
        <v>9.0000000000000011E-3</v>
      </c>
      <c r="BA61" s="663"/>
      <c r="BB61" s="685">
        <v>5.3006000000000002</v>
      </c>
      <c r="BC61" s="683">
        <v>15.228400000000001</v>
      </c>
      <c r="BD61" s="664"/>
      <c r="BE61" s="687">
        <v>0.433</v>
      </c>
      <c r="BF61" s="687">
        <v>1.2414000000000001</v>
      </c>
      <c r="BG61" s="664"/>
      <c r="BH61" s="687">
        <v>0.43469999999999998</v>
      </c>
      <c r="BI61" s="687">
        <v>1.2487999999999999</v>
      </c>
      <c r="BJ61" s="661"/>
      <c r="BK61" s="366"/>
      <c r="BL61" s="666">
        <v>2013</v>
      </c>
      <c r="BM61" s="13">
        <v>61</v>
      </c>
      <c r="BN61" s="661"/>
      <c r="BO61" s="79"/>
      <c r="BP61" s="79"/>
      <c r="BQ61" s="146">
        <v>0</v>
      </c>
      <c r="BR61" s="668">
        <v>4.2999999999999997E-2</v>
      </c>
      <c r="BS61" s="668"/>
      <c r="BT61" s="668">
        <v>7.325000000000001E-2</v>
      </c>
      <c r="BU61" s="366"/>
      <c r="BV61" s="666">
        <v>2013</v>
      </c>
      <c r="BW61" s="660"/>
      <c r="BX61" s="661"/>
      <c r="BY61" s="79"/>
      <c r="BZ61" s="79"/>
      <c r="CA61" s="6">
        <f t="shared" si="10"/>
        <v>0</v>
      </c>
      <c r="CB61" s="6">
        <f t="shared" si="12"/>
        <v>4.2999999999999997E-2</v>
      </c>
      <c r="CC61" s="6"/>
      <c r="CD61" s="6">
        <f t="shared" si="11"/>
        <v>7.325000000000001E-2</v>
      </c>
      <c r="CE61" s="690">
        <v>3.1250000000000007E-2</v>
      </c>
      <c r="CG61" s="666">
        <v>2013</v>
      </c>
      <c r="CH61" s="691">
        <v>7.4999999999999997E-2</v>
      </c>
      <c r="CI61" s="692">
        <v>5.0999999999999997E-2</v>
      </c>
      <c r="CJ61" s="313">
        <v>5.0000000000000001E-3</v>
      </c>
      <c r="CK61" s="320">
        <v>0.98250000000000004</v>
      </c>
      <c r="CL61" s="697">
        <v>7.4999999999999997E-3</v>
      </c>
      <c r="CM61" s="673">
        <v>2.4E-2</v>
      </c>
      <c r="CN61" s="673">
        <v>2.4E-2</v>
      </c>
      <c r="CO61" s="674">
        <v>2.4000000000000001E-4</v>
      </c>
    </row>
    <row r="62" spans="1:93" s="361" customFormat="1" hidden="1" x14ac:dyDescent="0.25">
      <c r="A62" s="666">
        <v>2014</v>
      </c>
      <c r="B62" s="54">
        <f>IF($F$1=1.8%,LOOKUP($A62,Prix!B$6:B$127,Prix!$G$6:$G$127),IF($F$1=1.5%,LOOKUP($A62,Prix!B$6:B$127,Prix!$H$6:$H$127),IF($F$1=1.3%,LOOKUP($A62,Prix!B$6:B$127,Prix!$I$6:$I$127),LOOKUP($A62,Prix!B$6:B$127,Prix!$J$6:$J$127))))</f>
        <v>5.0271465915945335E-3</v>
      </c>
      <c r="C62" s="7">
        <f t="shared" si="0"/>
        <v>0.94968012985772943</v>
      </c>
      <c r="D62" s="56">
        <f>IF($F$1=1.8%,LOOKUP($A62,SMPT!$B$6:$B$127,SMPT!$C$6:$C$127),IF($F$1=1.5%,LOOKUP($A62,SMPT!$B$6:$B$127,SMPT!$D$6:$D$127),IF($F$1=1.3%,LOOKUP($A62,SMPT!$B$6:$B$127,SMPT!$E$6:$E$127),LOOKUP($A62,SMPT!$B$6:$B$127,SMPT!$F$6:$F$127))))</f>
        <v>34911.598845646149</v>
      </c>
      <c r="E62" s="58">
        <f t="shared" si="3"/>
        <v>6.6707237198082581E-3</v>
      </c>
      <c r="F62" s="56">
        <f>IF($F$1=1.8%,LOOKUP($A62,SMIC!$B$6:$B$125,SMIC!$C$6:$C$125),IF($F$1=1.5%,LOOKUP($A62,SMIC!$B$6:$B$125,SMIC!$D$6:$D$125),IF($F$1=1.3%,LOOKUP($A62,SMIC!$B$6:$B$125,SMIC!$E$6:$E$125),LOOKUP($A62,SMIC!$B$6:$B$125,SMIC!$F$6:$F$125))))</f>
        <v>17344.599999999999</v>
      </c>
      <c r="G62" s="153">
        <f t="shared" si="1"/>
        <v>0.95051748505204037</v>
      </c>
      <c r="H62" s="357">
        <f t="shared" si="4"/>
        <v>1.393389500972142E-2</v>
      </c>
      <c r="I62" s="666">
        <v>2014</v>
      </c>
      <c r="J62" s="662"/>
      <c r="K62" s="668">
        <f t="shared" si="6"/>
        <v>0.17249999999999999</v>
      </c>
      <c r="L62" s="668">
        <v>0.10199999999999999</v>
      </c>
      <c r="M62" s="668">
        <v>7.0500000000000007E-2</v>
      </c>
      <c r="N62" s="668">
        <f t="shared" si="7"/>
        <v>0.02</v>
      </c>
      <c r="O62" s="668">
        <f>IF(Simulation!$D$43="Oui",$Q62,0)</f>
        <v>1.7500000000000002E-2</v>
      </c>
      <c r="P62" s="668">
        <f>IF(Simulation!$D$43="Oui",$R62,0)</f>
        <v>2.5000000000000001E-3</v>
      </c>
      <c r="Q62" s="677">
        <v>1.7500000000000002E-2</v>
      </c>
      <c r="R62" s="677">
        <v>2.5000000000000001E-3</v>
      </c>
      <c r="S62" s="56">
        <f>IF($F$1=1.8%,LOOKUP($A62,Sal_valid!$B$6:$B$127,Sal_valid!$C$6:$C$127),IF($F$1=1.5%,LOOKUP($A62,Sal_valid!$B$6:$B$127,Sal_valid!$D$6:$D$127),IF($F$1=1.3%,LOOKUP($A62,Sal_valid!$B$6:$B$127,Sal_valid!$E$6:$E$127),LOOKUP($A62,Sal_valid!$B$6:$B$127,Sal_valid!$F$6:$F$127))))</f>
        <v>1429.5</v>
      </c>
      <c r="T62" s="73">
        <f>Revalo_RB!$D74</f>
        <v>0</v>
      </c>
      <c r="U62" s="73">
        <f>Revalo_RB!$H74</f>
        <v>0</v>
      </c>
      <c r="V62" s="56">
        <f>IF($F$1=1.8%,LOOKUP($A62,PSS!$B$6:$B$127,PSS!$C$6:$C$127),IF($F$1=1.5%,LOOKUP($A62,PSS!$B$6:$B$127,PSS!$D$6:$D$127),IF($F$1=1.3%,LOOKUP($A62,PSS!$B$6:$B$127,PSS!$E$6:$E$127),LOOKUP($A62,PSS!$B$6:$B$127,PSS!$F$6:$F$127))))</f>
        <v>37548</v>
      </c>
      <c r="W62" s="56">
        <f>IF($F$1=1.8%,LOOKUP($A62,Smic_AVPF!$B$6:$B$104,Smic_AVPF!$C$6:$C$104),IF($F$1=1.5%,LOOKUP($A62,Smic_AVPF!$B$6:$B$104,Smic_AVPF!$D$6:$D$104),IF($F$1=1.3%,LOOKUP($A62,Smic_AVPF!$B$6:$B$104,Smic_AVPF!$E$6:$E$104),LOOKUP($A62,Smic_AVPF!$B$6:$B$104,Smic_AVPF!$F$6:$F$104))))</f>
        <v>19124.04</v>
      </c>
      <c r="X62" s="56">
        <v>7547.96</v>
      </c>
      <c r="Y62" s="56">
        <v>8247.85</v>
      </c>
      <c r="Z62" s="56">
        <f t="shared" si="14"/>
        <v>14071.200746430881</v>
      </c>
      <c r="AA62" s="337"/>
      <c r="AB62" s="666">
        <v>2014</v>
      </c>
      <c r="AC62" s="672">
        <v>6.0999999999999999E-2</v>
      </c>
      <c r="AD62" s="673">
        <v>3.6600000000000001E-2</v>
      </c>
      <c r="AE62" s="673">
        <v>2.4399999999999998E-2</v>
      </c>
      <c r="AF62" s="668">
        <v>0.16344</v>
      </c>
      <c r="AG62" s="668">
        <v>0.10144</v>
      </c>
      <c r="AH62" s="668">
        <v>6.2E-2</v>
      </c>
      <c r="AI62" s="337"/>
      <c r="AJ62" s="667">
        <v>1.25</v>
      </c>
      <c r="AK62" s="667">
        <v>1.25</v>
      </c>
      <c r="AL62" s="673">
        <f t="shared" si="13"/>
        <v>3.4999999999999996E-3</v>
      </c>
      <c r="AM62" s="673">
        <f>IF(Simulation!$D$42="Oui",Barèmes!$AO62,0)</f>
        <v>2.1999999999999997E-3</v>
      </c>
      <c r="AN62" s="673">
        <f>IF(Simulation!$D$42="Oui",Barèmes!$AP62,0)</f>
        <v>1.2999999999999999E-3</v>
      </c>
      <c r="AO62" s="677">
        <v>2.1999999999999997E-3</v>
      </c>
      <c r="AP62" s="677">
        <v>1.2999999999999999E-3</v>
      </c>
      <c r="AQ62" s="668">
        <f t="shared" si="15"/>
        <v>0.02</v>
      </c>
      <c r="AR62" s="668">
        <f>IF(Simulation!$D$42="Oui",Barèmes!$AT62,0)</f>
        <v>1.2E-2</v>
      </c>
      <c r="AS62" s="668">
        <f>IF(Simulation!$D$42="Oui",Barèmes!$AU62,0)</f>
        <v>8.0000000000000002E-3</v>
      </c>
      <c r="AT62" s="678">
        <v>1.2E-2</v>
      </c>
      <c r="AU62" s="678">
        <v>8.0000000000000002E-3</v>
      </c>
      <c r="AV62" s="668">
        <f t="shared" si="9"/>
        <v>2.2000000000000002E-2</v>
      </c>
      <c r="AW62" s="668">
        <f>IF(Simulation!$D$42="Oui",Barèmes!$AY62,0)</f>
        <v>1.3000000000000001E-2</v>
      </c>
      <c r="AX62" s="668">
        <f>IF(Simulation!$D$42="Oui",Barèmes!$AZ62,0)</f>
        <v>9.0000000000000011E-3</v>
      </c>
      <c r="AY62" s="678">
        <v>1.3000000000000001E-2</v>
      </c>
      <c r="AZ62" s="678">
        <v>9.0000000000000011E-3</v>
      </c>
      <c r="BA62" s="663"/>
      <c r="BB62" s="685">
        <v>5.3075000000000001</v>
      </c>
      <c r="BC62" s="683">
        <v>15.258900000000001</v>
      </c>
      <c r="BD62" s="664"/>
      <c r="BE62" s="687">
        <v>0.43519999999999998</v>
      </c>
      <c r="BF62" s="687">
        <v>1.2513000000000001</v>
      </c>
      <c r="BG62" s="664"/>
      <c r="BH62" s="687">
        <v>0.43519999999999998</v>
      </c>
      <c r="BI62" s="687">
        <v>1.2513000000000001</v>
      </c>
      <c r="BJ62" s="661"/>
      <c r="BK62" s="366"/>
      <c r="BL62" s="666">
        <v>2014</v>
      </c>
      <c r="BM62" s="13">
        <v>61</v>
      </c>
      <c r="BN62" s="661"/>
      <c r="BO62" s="79"/>
      <c r="BP62" s="79"/>
      <c r="BQ62" s="146">
        <v>0</v>
      </c>
      <c r="BR62" s="668">
        <v>4.2999999999999997E-2</v>
      </c>
      <c r="BS62" s="668"/>
      <c r="BT62" s="668">
        <v>7.400000000000001E-2</v>
      </c>
      <c r="BU62" s="366"/>
      <c r="BV62" s="666">
        <v>2014</v>
      </c>
      <c r="BW62" s="660"/>
      <c r="BX62" s="661"/>
      <c r="BY62" s="79"/>
      <c r="BZ62" s="79"/>
      <c r="CA62" s="6">
        <f t="shared" si="10"/>
        <v>0</v>
      </c>
      <c r="CB62" s="6">
        <f t="shared" si="12"/>
        <v>4.2999999999999997E-2</v>
      </c>
      <c r="CC62" s="6"/>
      <c r="CD62" s="6">
        <f t="shared" si="11"/>
        <v>7.400000000000001E-2</v>
      </c>
      <c r="CE62" s="690">
        <v>3.2000000000000008E-2</v>
      </c>
      <c r="CG62" s="666">
        <v>2014</v>
      </c>
      <c r="CH62" s="691">
        <v>7.4999999999999997E-2</v>
      </c>
      <c r="CI62" s="692">
        <v>5.0999999999999997E-2</v>
      </c>
      <c r="CJ62" s="313">
        <v>5.0000000000000001E-3</v>
      </c>
      <c r="CK62" s="320">
        <v>0.98250000000000004</v>
      </c>
      <c r="CL62" s="697">
        <v>7.4999999999999997E-3</v>
      </c>
      <c r="CM62" s="673">
        <v>2.4E-2</v>
      </c>
      <c r="CN62" s="673">
        <v>2.4E-2</v>
      </c>
      <c r="CO62" s="674">
        <v>2.4000000000000001E-4</v>
      </c>
    </row>
    <row r="63" spans="1:93" s="361" customFormat="1" hidden="1" x14ac:dyDescent="0.25">
      <c r="A63" s="666">
        <v>2015</v>
      </c>
      <c r="B63" s="54">
        <f>IF($F$1=1.8%,LOOKUP($A63,Prix!B$6:B$127,Prix!$G$6:$G$127),IF($F$1=1.5%,LOOKUP($A63,Prix!B$6:B$127,Prix!$H$6:$H$127),IF($F$1=1.3%,LOOKUP($A63,Prix!B$6:B$127,Prix!$I$6:$I$127),LOOKUP($A63,Prix!B$6:B$127,Prix!$J$6:$J$127))))</f>
        <v>4.0016006402576743E-4</v>
      </c>
      <c r="C63" s="7">
        <f t="shared" si="0"/>
        <v>0.95445431108564871</v>
      </c>
      <c r="D63" s="56">
        <f>IF($F$1=1.8%,LOOKUP($A63,SMPT!$B$6:$B$127,SMPT!$C$6:$C$127),IF($F$1=1.5%,LOOKUP($A63,SMPT!$B$6:$B$127,SMPT!$D$6:$D$127),IF($F$1=1.3%,LOOKUP($A63,SMPT!$B$6:$B$127,SMPT!$E$6:$E$127),LOOKUP($A63,SMPT!$B$6:$B$127,SMPT!$F$6:$F$127))))</f>
        <v>35331.319970931458</v>
      </c>
      <c r="E63" s="58">
        <f t="shared" si="3"/>
        <v>1.2022397689117836E-2</v>
      </c>
      <c r="F63" s="56">
        <f>IF($F$1=1.8%,LOOKUP($A63,SMIC!$B$6:$B$125,SMIC!$C$6:$C$125),IF($F$1=1.5%,LOOKUP($A63,SMIC!$B$6:$B$125,SMIC!$D$6:$D$125),IF($F$1=1.3%,LOOKUP($A63,SMIC!$B$6:$B$125,SMIC!$E$6:$E$125),LOOKUP($A63,SMIC!$B$6:$B$125,SMIC!$F$6:$F$125))))</f>
        <v>17490.199999999997</v>
      </c>
      <c r="G63" s="153">
        <f t="shared" si="1"/>
        <v>0.96194498426779618</v>
      </c>
      <c r="H63" s="357">
        <f t="shared" si="4"/>
        <v>1.3103227868328515E-2</v>
      </c>
      <c r="I63" s="666">
        <v>2015</v>
      </c>
      <c r="J63" s="662"/>
      <c r="K63" s="668">
        <f t="shared" si="6"/>
        <v>0.17449999999999999</v>
      </c>
      <c r="L63" s="668">
        <v>0.10300000000000001</v>
      </c>
      <c r="M63" s="668">
        <v>7.1499999999999994E-2</v>
      </c>
      <c r="N63" s="668">
        <f t="shared" si="7"/>
        <v>2.1000000000000001E-2</v>
      </c>
      <c r="O63" s="668">
        <f>IF(Simulation!$D$43="Oui",$Q63,0)</f>
        <v>1.8000000000000002E-2</v>
      </c>
      <c r="P63" s="668">
        <f>IF(Simulation!$D$43="Oui",$R63,0)</f>
        <v>3.0000000000000001E-3</v>
      </c>
      <c r="Q63" s="677">
        <v>1.8000000000000002E-2</v>
      </c>
      <c r="R63" s="677">
        <v>3.0000000000000001E-3</v>
      </c>
      <c r="S63" s="56">
        <f>IF($F$1=1.8%,LOOKUP($A63,Sal_valid!$B$6:$B$127,Sal_valid!$C$6:$C$127),IF($F$1=1.5%,LOOKUP($A63,Sal_valid!$B$6:$B$127,Sal_valid!$D$6:$D$127),IF($F$1=1.3%,LOOKUP($A63,Sal_valid!$B$6:$B$127,Sal_valid!$E$6:$E$127),LOOKUP($A63,Sal_valid!$B$6:$B$127,Sal_valid!$F$6:$F$127))))</f>
        <v>1441.5</v>
      </c>
      <c r="T63" s="73">
        <f>Revalo_RB!$D75</f>
        <v>9.6432015429126494E-4</v>
      </c>
      <c r="U63" s="73">
        <f>Revalo_RB!$H75</f>
        <v>1E-3</v>
      </c>
      <c r="V63" s="56">
        <f>IF($F$1=1.8%,LOOKUP($A63,PSS!$B$6:$B$127,PSS!$C$6:$C$127),IF($F$1=1.5%,LOOKUP($A63,PSS!$B$6:$B$127,PSS!$D$6:$D$127),IF($F$1=1.3%,LOOKUP($A63,PSS!$B$6:$B$127,PSS!$E$6:$E$127),LOOKUP($A63,PSS!$B$6:$B$127,PSS!$F$6:$F$127))))</f>
        <v>38040</v>
      </c>
      <c r="W63" s="56">
        <f>IF($F$1=1.8%,LOOKUP($A63,Smic_AVPF!$B$6:$B$104,Smic_AVPF!$C$6:$C$104),IF($F$1=1.5%,LOOKUP($A63,Smic_AVPF!$B$6:$B$104,Smic_AVPF!$D$6:$D$104),IF($F$1=1.3%,LOOKUP($A63,Smic_AVPF!$B$6:$B$104,Smic_AVPF!$E$6:$E$104),LOOKUP($A63,Smic_AVPF!$B$6:$B$104,Smic_AVPF!$F$6:$F$104))))</f>
        <v>19326.84</v>
      </c>
      <c r="X63" s="56">
        <v>7555.5</v>
      </c>
      <c r="Y63" s="56">
        <v>8256.09</v>
      </c>
      <c r="Z63" s="56">
        <f t="shared" si="14"/>
        <v>14085.258554726448</v>
      </c>
      <c r="AA63" s="337"/>
      <c r="AB63" s="666">
        <v>2015</v>
      </c>
      <c r="AC63" s="672">
        <v>6.2E-2</v>
      </c>
      <c r="AD63" s="673">
        <v>3.7200000000000004E-2</v>
      </c>
      <c r="AE63" s="673">
        <v>2.4799999999999996E-2</v>
      </c>
      <c r="AF63" s="668">
        <v>0.16440000000000002</v>
      </c>
      <c r="AG63" s="668">
        <v>0.10200000000000001</v>
      </c>
      <c r="AH63" s="668">
        <v>6.2400000000000004E-2</v>
      </c>
      <c r="AI63" s="337"/>
      <c r="AJ63" s="667">
        <v>1.25</v>
      </c>
      <c r="AK63" s="667">
        <v>1.25</v>
      </c>
      <c r="AL63" s="673">
        <f t="shared" si="13"/>
        <v>3.4999999999999996E-3</v>
      </c>
      <c r="AM63" s="673">
        <f>IF(Simulation!$D$42="Oui",Barèmes!$AO63,0)</f>
        <v>2.1999999999999997E-3</v>
      </c>
      <c r="AN63" s="673">
        <f>IF(Simulation!$D$42="Oui",Barèmes!$AP63,0)</f>
        <v>1.2999999999999999E-3</v>
      </c>
      <c r="AO63" s="677">
        <v>2.1999999999999997E-3</v>
      </c>
      <c r="AP63" s="677">
        <v>1.2999999999999999E-3</v>
      </c>
      <c r="AQ63" s="668">
        <f t="shared" si="15"/>
        <v>0.02</v>
      </c>
      <c r="AR63" s="668">
        <f>IF(Simulation!$D$42="Oui",Barèmes!$AT63,0)</f>
        <v>1.2E-2</v>
      </c>
      <c r="AS63" s="668">
        <f>IF(Simulation!$D$42="Oui",Barèmes!$AU63,0)</f>
        <v>8.0000000000000002E-3</v>
      </c>
      <c r="AT63" s="678">
        <v>1.2E-2</v>
      </c>
      <c r="AU63" s="678">
        <v>8.0000000000000002E-3</v>
      </c>
      <c r="AV63" s="668">
        <f t="shared" si="9"/>
        <v>2.2000000000000002E-2</v>
      </c>
      <c r="AW63" s="668">
        <f>IF(Simulation!$D$42="Oui",Barèmes!$AY63,0)</f>
        <v>1.3000000000000001E-2</v>
      </c>
      <c r="AX63" s="668">
        <f>IF(Simulation!$D$42="Oui",Barèmes!$AZ63,0)</f>
        <v>9.0000000000000011E-3</v>
      </c>
      <c r="AY63" s="678">
        <v>1.3000000000000001E-2</v>
      </c>
      <c r="AZ63" s="678">
        <v>9.0000000000000011E-3</v>
      </c>
      <c r="BA63" s="663"/>
      <c r="BB63" s="69">
        <v>5.3075000000000001</v>
      </c>
      <c r="BC63" s="683">
        <v>15.258900000000001</v>
      </c>
      <c r="BD63" s="664"/>
      <c r="BE63" s="687">
        <v>0.43519999999999998</v>
      </c>
      <c r="BF63" s="687">
        <v>1.2513000000000001</v>
      </c>
      <c r="BG63" s="664"/>
      <c r="BH63" s="687">
        <v>0.43519999999999998</v>
      </c>
      <c r="BI63" s="687">
        <f>BI62</f>
        <v>1.2513000000000001</v>
      </c>
      <c r="BJ63" s="661"/>
      <c r="BK63" s="366"/>
      <c r="BL63" s="666">
        <v>2015</v>
      </c>
      <c r="BM63" s="13">
        <v>10633</v>
      </c>
      <c r="BN63" s="5">
        <v>13900</v>
      </c>
      <c r="BO63" s="5"/>
      <c r="BP63" s="79"/>
      <c r="BQ63" s="146">
        <v>0</v>
      </c>
      <c r="BR63" s="668">
        <v>4.2999999999999997E-2</v>
      </c>
      <c r="BS63" s="668"/>
      <c r="BT63" s="668">
        <v>7.400000000000001E-2</v>
      </c>
      <c r="BU63" s="366"/>
      <c r="BV63" s="666">
        <v>2015</v>
      </c>
      <c r="BW63" s="13">
        <v>13472</v>
      </c>
      <c r="BX63" s="689">
        <v>17611</v>
      </c>
      <c r="BY63" s="689"/>
      <c r="BZ63" s="79"/>
      <c r="CA63" s="6">
        <f t="shared" si="10"/>
        <v>0</v>
      </c>
      <c r="CB63" s="6">
        <f t="shared" si="12"/>
        <v>4.2999999999999997E-2</v>
      </c>
      <c r="CC63" s="6"/>
      <c r="CD63" s="6">
        <f t="shared" si="11"/>
        <v>7.400000000000001E-2</v>
      </c>
      <c r="CE63" s="690">
        <v>3.2000000000000008E-2</v>
      </c>
      <c r="CG63" s="666">
        <v>2015</v>
      </c>
      <c r="CH63" s="691">
        <v>7.4999999999999997E-2</v>
      </c>
      <c r="CI63" s="692">
        <v>5.0999999999999997E-2</v>
      </c>
      <c r="CJ63" s="313">
        <v>5.0000000000000001E-3</v>
      </c>
      <c r="CK63" s="320">
        <v>0.98250000000000004</v>
      </c>
      <c r="CL63" s="697">
        <v>7.4999999999999997E-3</v>
      </c>
      <c r="CM63" s="673">
        <v>2.4E-2</v>
      </c>
      <c r="CN63" s="673">
        <v>2.4E-2</v>
      </c>
      <c r="CO63" s="674">
        <v>2.4000000000000001E-4</v>
      </c>
    </row>
    <row r="64" spans="1:93" s="361" customFormat="1" hidden="1" x14ac:dyDescent="0.25">
      <c r="A64" s="666">
        <v>2016</v>
      </c>
      <c r="B64" s="54">
        <f>IF($F$1=1.8%,LOOKUP($A64,Prix!B$6:B$127,Prix!$G$6:$G$127),IF($F$1=1.5%,LOOKUP($A64,Prix!B$6:B$127,Prix!$H$6:$H$127),IF($F$1=1.3%,LOOKUP($A64,Prix!B$6:B$127,Prix!$I$6:$I$127),LOOKUP($A64,Prix!B$6:B$127,Prix!$J$6:$J$127))))</f>
        <v>1.8000000000000238E-3</v>
      </c>
      <c r="C64" s="7">
        <f t="shared" si="0"/>
        <v>0.95483624558388236</v>
      </c>
      <c r="D64" s="56">
        <f>IF($F$1=1.8%,LOOKUP($A64,SMPT!$B$6:$B$127,SMPT!$C$6:$C$127),IF($F$1=1.5%,LOOKUP($A64,SMPT!$B$6:$B$127,SMPT!$D$6:$D$127),IF($F$1=1.3%,LOOKUP($A64,SMPT!$B$6:$B$127,SMPT!$E$6:$E$127),LOOKUP($A64,SMPT!$B$6:$B$127,SMPT!$F$6:$F$127))))</f>
        <v>35766.776271669114</v>
      </c>
      <c r="E64" s="58">
        <f t="shared" si="3"/>
        <v>1.2324937225552945E-2</v>
      </c>
      <c r="F64" s="56">
        <f>IF($F$1=1.8%,LOOKUP($A64,SMIC!$B$6:$B$125,SMIC!$C$6:$C$125),IF($F$1=1.5%,LOOKUP($A64,SMIC!$B$6:$B$125,SMIC!$D$6:$D$125),IF($F$1=1.3%,LOOKUP($A64,SMIC!$B$6:$B$125,SMIC!$E$6:$E$125),LOOKUP($A64,SMIC!$B$6:$B$125,SMIC!$F$6:$F$125))))</f>
        <v>17599.399999999998</v>
      </c>
      <c r="G64" s="153">
        <f t="shared" si="1"/>
        <v>0.97380089581333229</v>
      </c>
      <c r="H64" s="357">
        <f t="shared" si="4"/>
        <v>1.5141955835962229E-2</v>
      </c>
      <c r="I64" s="666">
        <v>2016</v>
      </c>
      <c r="J64" s="662"/>
      <c r="K64" s="668">
        <f t="shared" si="6"/>
        <v>0.17649999999999999</v>
      </c>
      <c r="L64" s="668">
        <v>0.10400000000000001</v>
      </c>
      <c r="M64" s="668">
        <v>7.2499999999999995E-2</v>
      </c>
      <c r="N64" s="668">
        <f t="shared" ref="N64:N127" si="16">O64+P64</f>
        <v>2.2000000000000002E-2</v>
      </c>
      <c r="O64" s="668">
        <f>IF(Simulation!$D$43="Oui",$Q64,0)</f>
        <v>1.8500000000000003E-2</v>
      </c>
      <c r="P64" s="668">
        <f>IF(Simulation!$D$43="Oui",$R64,0)</f>
        <v>3.4999999999999996E-3</v>
      </c>
      <c r="Q64" s="677">
        <v>1.8500000000000003E-2</v>
      </c>
      <c r="R64" s="677">
        <v>3.4999999999999996E-3</v>
      </c>
      <c r="S64" s="56">
        <f>IF($F$1=1.8%,LOOKUP($A64,Sal_valid!$B$6:$B$127,Sal_valid!$C$6:$C$127),IF($F$1=1.5%,LOOKUP($A64,Sal_valid!$B$6:$B$127,Sal_valid!$D$6:$D$127),IF($F$1=1.3%,LOOKUP($A64,Sal_valid!$B$6:$B$127,Sal_valid!$E$6:$E$127),LOOKUP($A64,Sal_valid!$B$6:$B$127,Sal_valid!$F$6:$F$127))))</f>
        <v>1450.5</v>
      </c>
      <c r="T64" s="73">
        <f>Revalo_RB!$D76</f>
        <v>0</v>
      </c>
      <c r="U64" s="73">
        <f>Revalo_RB!$H76</f>
        <v>0</v>
      </c>
      <c r="V64" s="56">
        <f>IF($F$1=1.8%,LOOKUP($A64,PSS!$B$6:$B$127,PSS!$C$6:$C$127),IF($F$1=1.5%,LOOKUP($A64,PSS!$B$6:$B$127,PSS!$D$6:$D$127),IF($F$1=1.3%,LOOKUP($A64,PSS!$B$6:$B$127,PSS!$E$6:$E$127),LOOKUP($A64,PSS!$B$6:$B$127,PSS!$F$6:$F$127))))</f>
        <v>38616</v>
      </c>
      <c r="W64" s="56">
        <f>IF($F$1=1.8%,LOOKUP($A64,Smic_AVPF!$B$6:$B$104,Smic_AVPF!$C$6:$C$104),IF($F$1=1.5%,LOOKUP($A64,Smic_AVPF!$B$6:$B$104,Smic_AVPF!$D$6:$D$104),IF($F$1=1.3%,LOOKUP($A64,Smic_AVPF!$B$6:$B$104,Smic_AVPF!$E$6:$E$104),LOOKUP($A64,Smic_AVPF!$B$6:$B$104,Smic_AVPF!$F$6:$F$104))))</f>
        <v>19489.079999999998</v>
      </c>
      <c r="X64" s="56">
        <v>7555.5</v>
      </c>
      <c r="Y64" s="56">
        <v>8256.09</v>
      </c>
      <c r="Z64" s="56">
        <f t="shared" si="14"/>
        <v>14085.258554726448</v>
      </c>
      <c r="AA64" s="337"/>
      <c r="AB64" s="666">
        <v>2016</v>
      </c>
      <c r="AC64" s="672">
        <v>6.2E-2</v>
      </c>
      <c r="AD64" s="673">
        <v>3.7200000000000004E-2</v>
      </c>
      <c r="AE64" s="673">
        <v>2.4799999999999996E-2</v>
      </c>
      <c r="AF64" s="668">
        <v>0.16440000000000002</v>
      </c>
      <c r="AG64" s="668">
        <v>0.10200000000000001</v>
      </c>
      <c r="AH64" s="668">
        <v>6.2400000000000004E-2</v>
      </c>
      <c r="AI64" s="337"/>
      <c r="AJ64" s="667">
        <v>1.25</v>
      </c>
      <c r="AK64" s="667">
        <v>1.25</v>
      </c>
      <c r="AL64" s="673">
        <f t="shared" si="13"/>
        <v>3.4999999999999996E-3</v>
      </c>
      <c r="AM64" s="673">
        <f>IF(Simulation!$D$42="Oui",Barèmes!$AO64,0)</f>
        <v>2.1999999999999997E-3</v>
      </c>
      <c r="AN64" s="673">
        <f>IF(Simulation!$D$42="Oui",Barèmes!$AP64,0)</f>
        <v>1.2999999999999999E-3</v>
      </c>
      <c r="AO64" s="677">
        <v>2.1999999999999997E-3</v>
      </c>
      <c r="AP64" s="677">
        <v>1.2999999999999999E-3</v>
      </c>
      <c r="AQ64" s="668">
        <f t="shared" si="15"/>
        <v>0.02</v>
      </c>
      <c r="AR64" s="668">
        <f>IF(Simulation!$D$42="Oui",Barèmes!$AT64,0)</f>
        <v>1.2E-2</v>
      </c>
      <c r="AS64" s="668">
        <f>IF(Simulation!$D$42="Oui",Barèmes!$AU64,0)</f>
        <v>8.0000000000000002E-3</v>
      </c>
      <c r="AT64" s="678">
        <v>1.2E-2</v>
      </c>
      <c r="AU64" s="678">
        <v>8.0000000000000002E-3</v>
      </c>
      <c r="AV64" s="668">
        <f t="shared" si="9"/>
        <v>2.2000000000000002E-2</v>
      </c>
      <c r="AW64" s="668">
        <f>IF(Simulation!$D$42="Oui",Barèmes!$AY64,0)</f>
        <v>1.3000000000000001E-2</v>
      </c>
      <c r="AX64" s="668">
        <f>IF(Simulation!$D$42="Oui",Barèmes!$AZ64,0)</f>
        <v>9.0000000000000011E-3</v>
      </c>
      <c r="AY64" s="678">
        <v>1.3000000000000001E-2</v>
      </c>
      <c r="AZ64" s="678">
        <v>9.0000000000000011E-3</v>
      </c>
      <c r="BA64" s="663"/>
      <c r="BB64" s="69">
        <v>5.4455</v>
      </c>
      <c r="BC64" s="683">
        <v>15.6556</v>
      </c>
      <c r="BD64" s="664"/>
      <c r="BE64" s="687">
        <v>0.43519999999999998</v>
      </c>
      <c r="BF64" s="687">
        <v>1.2513000000000001</v>
      </c>
      <c r="BG64" s="664"/>
      <c r="BH64" s="687">
        <v>0.43519999999999998</v>
      </c>
      <c r="BI64" s="687">
        <f t="shared" ref="BI64:BI65" si="17">BI63</f>
        <v>1.2513000000000001</v>
      </c>
      <c r="BJ64" s="661"/>
      <c r="BK64" s="366"/>
      <c r="BL64" s="666">
        <v>2016</v>
      </c>
      <c r="BM64" s="13">
        <v>10676</v>
      </c>
      <c r="BN64" s="5">
        <v>13956</v>
      </c>
      <c r="BO64" s="5"/>
      <c r="BP64" s="79"/>
      <c r="BQ64" s="146">
        <v>0</v>
      </c>
      <c r="BR64" s="668">
        <v>4.2999999999999997E-2</v>
      </c>
      <c r="BS64" s="668"/>
      <c r="BT64" s="668">
        <v>7.400000000000001E-2</v>
      </c>
      <c r="BU64" s="366"/>
      <c r="BV64" s="666">
        <v>2016</v>
      </c>
      <c r="BW64" s="13">
        <v>13526</v>
      </c>
      <c r="BX64" s="689">
        <v>17682</v>
      </c>
      <c r="BY64" s="689"/>
      <c r="BZ64" s="79"/>
      <c r="CA64" s="6">
        <f t="shared" si="10"/>
        <v>0</v>
      </c>
      <c r="CB64" s="6">
        <f t="shared" si="12"/>
        <v>4.2999999999999997E-2</v>
      </c>
      <c r="CC64" s="6"/>
      <c r="CD64" s="6">
        <f t="shared" si="11"/>
        <v>7.400000000000001E-2</v>
      </c>
      <c r="CE64" s="690">
        <v>3.2000000000000008E-2</v>
      </c>
      <c r="CG64" s="666">
        <v>2016</v>
      </c>
      <c r="CH64" s="691">
        <v>7.4999999999999997E-2</v>
      </c>
      <c r="CI64" s="692">
        <v>5.0999999999999997E-2</v>
      </c>
      <c r="CJ64" s="313">
        <v>5.0000000000000001E-3</v>
      </c>
      <c r="CK64" s="320">
        <v>0.98250000000000004</v>
      </c>
      <c r="CL64" s="697">
        <v>7.4999999999999997E-3</v>
      </c>
      <c r="CM64" s="673">
        <v>2.4E-2</v>
      </c>
      <c r="CN64" s="673">
        <v>2.4E-2</v>
      </c>
      <c r="CO64" s="674">
        <v>2.4000000000000001E-4</v>
      </c>
    </row>
    <row r="65" spans="1:96" s="4" customFormat="1" x14ac:dyDescent="0.25">
      <c r="A65" s="15">
        <v>2017</v>
      </c>
      <c r="B65" s="54">
        <f>IF($F$1=1.8%,LOOKUP($A65,Prix!B$6:B$127,Prix!$G$6:$G$127),IF($F$1=1.5%,LOOKUP($A65,Prix!B$6:B$127,Prix!$H$6:$H$127),IF($F$1=1.3%,LOOKUP($A65,Prix!B$6:B$127,Prix!$I$6:$I$127),LOOKUP($A65,Prix!B$6:B$127,Prix!$J$6:$J$127))))</f>
        <v>1.0381313635456246E-2</v>
      </c>
      <c r="C65" s="7">
        <f>C66/(1+B65)</f>
        <v>0.95655495082593334</v>
      </c>
      <c r="D65" s="56">
        <f>IF($F$1=1.8%,LOOKUP($A65,SMPT!$B$6:$B$127,SMPT!$C$6:$C$127),IF($F$1=1.5%,LOOKUP($A65,SMPT!$B$6:$B$127,SMPT!$D$6:$D$127),IF($F$1=1.3%,LOOKUP($A65,SMPT!$B$6:$B$127,SMPT!$E$6:$E$127),LOOKUP($A65,SMPT!$B$6:$B$127,SMPT!$F$6:$F$127))))</f>
        <v>36481.111346316837</v>
      </c>
      <c r="E65" s="58">
        <f t="shared" si="3"/>
        <v>1.99720284887277E-2</v>
      </c>
      <c r="F65" s="56">
        <f>IF($F$1=1.8%,LOOKUP($A65,SMIC!$B$6:$B$125,SMIC!$C$6:$C$125),IF($F$1=1.5%,LOOKUP($A65,SMIC!$B$6:$B$125,SMIC!$D$6:$D$125),IF($F$1=1.3%,LOOKUP($A65,SMIC!$B$6:$B$125,SMIC!$E$6:$E$125),LOOKUP($A65,SMIC!$B$6:$B$125,SMIC!$F$6:$F$125))))</f>
        <v>17763.2</v>
      </c>
      <c r="G65" s="153">
        <f t="shared" ref="G65:G67" si="18">D65/D$68</f>
        <v>0.99324967504686468</v>
      </c>
      <c r="H65" s="357">
        <f t="shared" si="4"/>
        <v>1.5848353014294547E-2</v>
      </c>
      <c r="I65" s="15">
        <v>2017</v>
      </c>
      <c r="J65" s="49"/>
      <c r="K65" s="62">
        <v>0.17749999999999999</v>
      </c>
      <c r="L65" s="668">
        <v>0.10450000000000001</v>
      </c>
      <c r="M65" s="668">
        <v>7.2999999999999995E-2</v>
      </c>
      <c r="N65" s="62">
        <f t="shared" si="16"/>
        <v>2.3000000000000003E-2</v>
      </c>
      <c r="O65" s="62">
        <f>IF(Simulation!$D$43="Oui",$Q65,0)</f>
        <v>1.9000000000000003E-2</v>
      </c>
      <c r="P65" s="62">
        <f>IF(Simulation!$D$43="Oui",$R65,0)</f>
        <v>4.0000000000000001E-3</v>
      </c>
      <c r="Q65" s="678">
        <v>1.9000000000000003E-2</v>
      </c>
      <c r="R65" s="678">
        <v>4.0000000000000001E-3</v>
      </c>
      <c r="S65" s="56">
        <f>IF($F$1=1.8%,LOOKUP($A65,Sal_valid!$B$6:$B$127,Sal_valid!$C$6:$C$127),IF($F$1=1.5%,LOOKUP($A65,Sal_valid!$B$6:$B$127,Sal_valid!$D$6:$D$127),IF($F$1=1.3%,LOOKUP($A65,Sal_valid!$B$6:$B$127,Sal_valid!$E$6:$E$127),LOOKUP($A65,Sal_valid!$B$6:$B$127,Sal_valid!$F$6:$F$127))))</f>
        <v>1464</v>
      </c>
      <c r="T65" s="73">
        <f>Revalo_RB!$D77</f>
        <v>7.7745383867833251E-3</v>
      </c>
      <c r="U65" s="73">
        <f>Revalo_RB!$H77</f>
        <v>8.0000000000000002E-3</v>
      </c>
      <c r="V65" s="56">
        <f>IF($F$1=1.8%,LOOKUP($A65,PSS!$B$6:$B$127,PSS!$C$6:$C$127),IF($F$1=1.5%,LOOKUP($A65,PSS!$B$6:$B$127,PSS!$D$6:$D$127),IF($F$1=1.3%,LOOKUP($A65,PSS!$B$6:$B$127,PSS!$E$6:$E$127),LOOKUP($A65,PSS!$B$6:$B$127,PSS!$F$6:$F$127))))</f>
        <v>39228</v>
      </c>
      <c r="W65" s="56">
        <f>IF($F$1=1.8%,LOOKUP($A65,Smic_AVPF!$B$6:$B$104,Smic_AVPF!$C$6:$C$104),IF($F$1=1.5%,LOOKUP($A65,Smic_AVPF!$B$6:$B$104,Smic_AVPF!$D$6:$D$104),IF($F$1=1.3%,LOOKUP($A65,Smic_AVPF!$B$6:$B$104,Smic_AVPF!$E$6:$E$104),LOOKUP($A65,Smic_AVPF!$B$6:$B$104,Smic_AVPF!$F$6:$F$104))))</f>
        <v>19610.759999999998</v>
      </c>
      <c r="X65" s="56">
        <f>Minima!$O$14</f>
        <v>7615.94</v>
      </c>
      <c r="Y65" s="56">
        <f>Minima!$P$14</f>
        <v>8322.1299999999992</v>
      </c>
      <c r="Z65" s="56">
        <f t="shared" ref="Z65:Z67" si="19">Z66/Y66*Y65</f>
        <v>14197.925746454508</v>
      </c>
      <c r="AA65" s="56"/>
      <c r="AB65" s="15">
        <v>2017</v>
      </c>
      <c r="AC65" s="54">
        <v>6.2E-2</v>
      </c>
      <c r="AD65" s="62">
        <v>3.7200000000000004E-2</v>
      </c>
      <c r="AE65" s="62">
        <v>2.4799999999999996E-2</v>
      </c>
      <c r="AF65" s="62">
        <v>0.16440000000000002</v>
      </c>
      <c r="AG65" s="62">
        <v>0.10200000000000001</v>
      </c>
      <c r="AH65" s="62">
        <v>6.2400000000000011E-2</v>
      </c>
      <c r="AI65" s="63">
        <v>1.25</v>
      </c>
      <c r="AJ65" s="667">
        <v>1.25</v>
      </c>
      <c r="AK65" s="667">
        <v>1.25</v>
      </c>
      <c r="AL65" s="62">
        <f t="shared" ref="AL65:AL128" si="20">AM65+AN65</f>
        <v>3.4999999999999996E-3</v>
      </c>
      <c r="AM65" s="673">
        <f>IF(Simulation!$D$42="Oui",Barèmes!$AO65,0)</f>
        <v>2.1999999999999997E-3</v>
      </c>
      <c r="AN65" s="673">
        <f>IF(Simulation!$D$42="Oui",Barèmes!$AP65,0)</f>
        <v>1.2999999999999999E-3</v>
      </c>
      <c r="AO65" s="678">
        <v>2.1999999999999997E-3</v>
      </c>
      <c r="AP65" s="678">
        <v>1.2999999999999999E-3</v>
      </c>
      <c r="AQ65" s="668">
        <f t="shared" si="15"/>
        <v>0.02</v>
      </c>
      <c r="AR65" s="668">
        <f>IF(Simulation!$D$42="Oui",Barèmes!$AT65,0)</f>
        <v>1.2E-2</v>
      </c>
      <c r="AS65" s="668">
        <f>IF(Simulation!$D$42="Oui",Barèmes!$AU65,0)</f>
        <v>8.0000000000000002E-3</v>
      </c>
      <c r="AT65" s="678">
        <v>1.2E-2</v>
      </c>
      <c r="AU65" s="678">
        <v>8.0000000000000002E-3</v>
      </c>
      <c r="AV65" s="668">
        <f t="shared" ref="AV65:AV128" si="21">AW65+AX65</f>
        <v>2.2000000000000002E-2</v>
      </c>
      <c r="AW65" s="668">
        <f>IF(Simulation!$D$42="Oui",Barèmes!$AY65,0)</f>
        <v>1.3000000000000001E-2</v>
      </c>
      <c r="AX65" s="668">
        <f>IF(Simulation!$D$42="Oui",Barèmes!$AZ65,0)</f>
        <v>9.0000000000000011E-3</v>
      </c>
      <c r="AY65" s="678">
        <v>1.3000000000000001E-2</v>
      </c>
      <c r="AZ65" s="678">
        <v>9.0000000000000011E-3</v>
      </c>
      <c r="BA65" s="69">
        <v>16.187899999999999</v>
      </c>
      <c r="BB65" s="69">
        <v>5.6306000000000003</v>
      </c>
      <c r="BC65" s="684">
        <v>16.187899999999999</v>
      </c>
      <c r="BD65" s="69">
        <v>1.2513000000000001</v>
      </c>
      <c r="BE65" s="687">
        <v>0.43519999999999998</v>
      </c>
      <c r="BF65" s="687">
        <v>1.2513000000000001</v>
      </c>
      <c r="BG65" s="47"/>
      <c r="BH65" s="688">
        <f>BH64</f>
        <v>0.43519999999999998</v>
      </c>
      <c r="BI65" s="687">
        <f t="shared" si="17"/>
        <v>1.2513000000000001</v>
      </c>
      <c r="BJ65" s="47"/>
      <c r="BL65" s="15">
        <v>2017</v>
      </c>
      <c r="BM65" s="13">
        <v>10996</v>
      </c>
      <c r="BN65" s="5">
        <v>14375</v>
      </c>
      <c r="BO65" s="5"/>
      <c r="BP65" s="48"/>
      <c r="BQ65" s="146">
        <v>0</v>
      </c>
      <c r="BR65" s="62">
        <v>4.2999999999999997E-2</v>
      </c>
      <c r="BS65" s="62"/>
      <c r="BT65" s="668">
        <v>7.400000000000001E-2</v>
      </c>
      <c r="BV65" s="15">
        <v>2017</v>
      </c>
      <c r="BW65" s="13">
        <v>13932</v>
      </c>
      <c r="BX65" s="689">
        <v>18213</v>
      </c>
      <c r="BY65" s="689"/>
      <c r="BZ65" s="48"/>
      <c r="CA65" s="146">
        <f t="shared" si="10"/>
        <v>0</v>
      </c>
      <c r="CB65" s="146">
        <f t="shared" si="12"/>
        <v>4.2999999999999997E-2</v>
      </c>
      <c r="CC65" s="146"/>
      <c r="CD65" s="146">
        <f t="shared" si="11"/>
        <v>7.400000000000001E-2</v>
      </c>
      <c r="CE65" s="62">
        <v>3.2000000000000008E-2</v>
      </c>
      <c r="CG65" s="15">
        <v>2017</v>
      </c>
      <c r="CH65" s="695">
        <v>7.4999999999999997E-2</v>
      </c>
      <c r="CI65" s="693">
        <v>5.0999999999999997E-2</v>
      </c>
      <c r="CJ65" s="313">
        <v>5.0000000000000001E-3</v>
      </c>
      <c r="CK65" s="320">
        <v>0.98250000000000004</v>
      </c>
      <c r="CL65" s="313">
        <v>7.4999999999999997E-3</v>
      </c>
      <c r="CM65" s="314">
        <v>2.4E-2</v>
      </c>
      <c r="CN65" s="314">
        <v>2.4E-2</v>
      </c>
      <c r="CO65" s="315">
        <v>2.4000000000000001E-4</v>
      </c>
    </row>
    <row r="66" spans="1:96" s="4" customFormat="1" x14ac:dyDescent="0.25">
      <c r="A66" s="15">
        <v>2018</v>
      </c>
      <c r="B66" s="54">
        <f>IF($F$1=1.8%,LOOKUP($A66,Prix!B$6:B$127,Prix!$G$6:$G$127),IF($F$1=1.5%,LOOKUP($A66,Prix!B$6:B$127,Prix!$H$6:$H$127),IF($F$1=1.3%,LOOKUP($A66,Prix!B$6:B$127,Prix!$I$6:$I$127),LOOKUP($A66,Prix!B$6:B$127,Prix!$J$6:$J$127))))</f>
        <v>1.8474609760916749E-2</v>
      </c>
      <c r="C66" s="7">
        <f>C67/(1+B66)</f>
        <v>0.96648524778000577</v>
      </c>
      <c r="D66" s="56">
        <f>IF($F$1=1.8%,LOOKUP($A66,SMPT!$B$6:$B$127,SMPT!$C$6:$C$127),IF($F$1=1.5%,LOOKUP($A66,SMPT!$B$6:$B$127,SMPT!$D$6:$D$127),IF($F$1=1.3%,LOOKUP($A66,SMPT!$B$6:$B$127,SMPT!$E$6:$E$127),LOOKUP($A66,SMPT!$B$6:$B$127,SMPT!$F$6:$F$127))))</f>
        <v>37042.735331123265</v>
      </c>
      <c r="E66" s="58">
        <f t="shared" ref="E66:E68" si="22">D66/D65-1</f>
        <v>1.5394925321076558E-2</v>
      </c>
      <c r="F66" s="56">
        <f>IF($F$1=1.8%,LOOKUP($A66,SMIC!$B$6:$B$125,SMIC!$C$6:$C$125),IF($F$1=1.5%,LOOKUP($A66,SMIC!$B$6:$B$125,SMIC!$D$6:$D$125),IF($F$1=1.3%,LOOKUP($A66,SMIC!$B$6:$B$125,SMIC!$E$6:$E$125),LOOKUP($A66,SMIC!$B$6:$B$125,SMIC!$F$6:$F$125))))</f>
        <v>17981.599999999999</v>
      </c>
      <c r="G66" s="153">
        <f t="shared" si="18"/>
        <v>1.0085406796193948</v>
      </c>
      <c r="H66" s="357">
        <f>V66/V65-1</f>
        <v>1.2847965738758127E-2</v>
      </c>
      <c r="I66" s="15">
        <v>2018</v>
      </c>
      <c r="J66" s="49"/>
      <c r="K66" s="62">
        <v>0.17749999999999999</v>
      </c>
      <c r="L66" s="668">
        <v>0.10450000000000001</v>
      </c>
      <c r="M66" s="668">
        <v>7.2999999999999995E-2</v>
      </c>
      <c r="N66" s="62">
        <f t="shared" si="16"/>
        <v>2.3000000000000003E-2</v>
      </c>
      <c r="O66" s="62">
        <f>IF(Simulation!$D$43="Oui",$Q66,0)</f>
        <v>1.9000000000000003E-2</v>
      </c>
      <c r="P66" s="62">
        <f>IF(Simulation!$D$43="Oui",$R66,0)</f>
        <v>4.0000000000000001E-3</v>
      </c>
      <c r="Q66" s="678">
        <v>1.9000000000000003E-2</v>
      </c>
      <c r="R66" s="678">
        <v>4.0000000000000001E-3</v>
      </c>
      <c r="S66" s="56">
        <f>IF($F$1=1.8%,LOOKUP($A66,Sal_valid!$B$6:$B$127,Sal_valid!$C$6:$C$127),IF($F$1=1.5%,LOOKUP($A66,Sal_valid!$B$6:$B$127,Sal_valid!$D$6:$D$127),IF($F$1=1.3%,LOOKUP($A66,Sal_valid!$B$6:$B$127,Sal_valid!$E$6:$E$127),LOOKUP($A66,Sal_valid!$B$6:$B$127,Sal_valid!$F$6:$F$127))))</f>
        <v>1482.0000000000002</v>
      </c>
      <c r="T66" s="73">
        <f>Revalo_RB!$D78</f>
        <v>1.4792899408283988E-2</v>
      </c>
      <c r="U66" s="73">
        <f>Revalo_RB!$H78</f>
        <v>0</v>
      </c>
      <c r="V66" s="56">
        <f>IF($F$1=1.8%,LOOKUP($A66,PSS!$B$6:$B$127,PSS!$C$6:$C$127),IF($F$1=1.5%,LOOKUP($A66,PSS!$B$6:$B$127,PSS!$D$6:$D$127),IF($F$1=1.3%,LOOKUP($A66,PSS!$B$6:$B$127,PSS!$E$6:$E$127),LOOKUP($A66,PSS!$B$6:$B$127,PSS!$F$6:$F$127))))</f>
        <v>39732</v>
      </c>
      <c r="W66" s="56">
        <f>IF($F$1=1.8%,LOOKUP($A66,Smic_AVPF!$B$6:$B$104,Smic_AVPF!$C$6:$C$104),IF($F$1=1.5%,LOOKUP($A66,Smic_AVPF!$B$6:$B$104,Smic_AVPF!$D$6:$D$104),IF($F$1=1.3%,LOOKUP($A66,Smic_AVPF!$B$6:$B$104,Smic_AVPF!$E$6:$E$104),LOOKUP($A66,Smic_AVPF!$B$6:$B$104,Smic_AVPF!$F$6:$F$104))))</f>
        <v>19793.28</v>
      </c>
      <c r="X66" s="56">
        <f>X65</f>
        <v>7615.94</v>
      </c>
      <c r="Y66" s="56">
        <f>Y65</f>
        <v>8322.1299999999992</v>
      </c>
      <c r="Z66" s="56">
        <f t="shared" si="19"/>
        <v>14197.925746454508</v>
      </c>
      <c r="AA66" s="58"/>
      <c r="AB66" s="15">
        <v>2018</v>
      </c>
      <c r="AC66" s="54">
        <v>6.2E-2</v>
      </c>
      <c r="AD66" s="62">
        <v>3.7200000000000004E-2</v>
      </c>
      <c r="AE66" s="62">
        <v>2.4799999999999996E-2</v>
      </c>
      <c r="AF66" s="62">
        <v>0.16440000000000002</v>
      </c>
      <c r="AG66" s="62">
        <v>0.10200000000000001</v>
      </c>
      <c r="AH66" s="62">
        <v>6.2400000000000011E-2</v>
      </c>
      <c r="AI66" s="63">
        <v>1.25</v>
      </c>
      <c r="AJ66" s="667">
        <v>1.25</v>
      </c>
      <c r="AK66" s="667">
        <v>1.25</v>
      </c>
      <c r="AL66" s="62">
        <f t="shared" si="20"/>
        <v>3.4999999999999996E-3</v>
      </c>
      <c r="AM66" s="673">
        <f>IF(Simulation!$D$42="Oui",Barèmes!$AO66,0)</f>
        <v>2.1999999999999997E-3</v>
      </c>
      <c r="AN66" s="673">
        <f>IF(Simulation!$D$42="Oui",Barèmes!$AP66,0)</f>
        <v>1.2999999999999999E-3</v>
      </c>
      <c r="AO66" s="678">
        <v>2.1999999999999997E-3</v>
      </c>
      <c r="AP66" s="678">
        <v>1.2999999999999999E-3</v>
      </c>
      <c r="AQ66" s="668">
        <f t="shared" si="15"/>
        <v>0.02</v>
      </c>
      <c r="AR66" s="668">
        <f>IF(Simulation!$D$42="Oui",Barèmes!$AT66,0)</f>
        <v>1.2E-2</v>
      </c>
      <c r="AS66" s="668">
        <f>IF(Simulation!$D$42="Oui",Barèmes!$AU66,0)</f>
        <v>8.0000000000000002E-3</v>
      </c>
      <c r="AT66" s="678">
        <v>1.2E-2</v>
      </c>
      <c r="AU66" s="678">
        <v>8.0000000000000002E-3</v>
      </c>
      <c r="AV66" s="668">
        <f t="shared" si="21"/>
        <v>2.2000000000000002E-2</v>
      </c>
      <c r="AW66" s="668">
        <f>IF(Simulation!$D$42="Oui",Barèmes!$AY66,0)</f>
        <v>1.3000000000000001E-2</v>
      </c>
      <c r="AX66" s="668">
        <f>IF(Simulation!$D$42="Oui",Barèmes!$AZ66,0)</f>
        <v>9.0000000000000011E-3</v>
      </c>
      <c r="AY66" s="678">
        <v>1.3000000000000001E-2</v>
      </c>
      <c r="AZ66" s="678">
        <v>9.0000000000000011E-3</v>
      </c>
      <c r="BA66" s="69">
        <v>16.7226</v>
      </c>
      <c r="BB66" s="69">
        <v>5.8166000000000002</v>
      </c>
      <c r="BC66" s="684">
        <v>16.7226</v>
      </c>
      <c r="BD66" s="69">
        <v>1.2587999999999999</v>
      </c>
      <c r="BE66" s="69">
        <v>0.43780848717333998</v>
      </c>
      <c r="BF66" s="69">
        <v>1.2587999999999999</v>
      </c>
      <c r="BG66" s="47"/>
      <c r="BH66" s="69">
        <f>BH65*9/12+0.43780848717334*3/12</f>
        <v>0.43585212179333499</v>
      </c>
      <c r="BI66" s="687">
        <f>BI65*9/12+1.2588*3/12</f>
        <v>1.2531750000000001</v>
      </c>
      <c r="BJ66" s="47"/>
      <c r="BL66" s="15">
        <v>2018</v>
      </c>
      <c r="BM66" s="13">
        <v>11018</v>
      </c>
      <c r="BN66" s="5">
        <v>14404</v>
      </c>
      <c r="BO66" s="5"/>
      <c r="BP66" s="48"/>
      <c r="BQ66" s="146">
        <v>0</v>
      </c>
      <c r="BR66" s="62">
        <v>4.2999999999999997E-2</v>
      </c>
      <c r="BS66" s="62"/>
      <c r="BT66" s="668">
        <v>9.0999999999999998E-2</v>
      </c>
      <c r="BV66" s="15">
        <v>2018</v>
      </c>
      <c r="BW66" s="13">
        <v>13960</v>
      </c>
      <c r="BX66" s="689">
        <v>18250</v>
      </c>
      <c r="BY66" s="689"/>
      <c r="BZ66" s="5"/>
      <c r="CA66" s="146">
        <f t="shared" si="10"/>
        <v>0</v>
      </c>
      <c r="CB66" s="146">
        <f t="shared" si="12"/>
        <v>4.2999999999999997E-2</v>
      </c>
      <c r="CC66" s="146"/>
      <c r="CD66" s="146">
        <f t="shared" si="11"/>
        <v>9.0999999999999998E-2</v>
      </c>
      <c r="CE66" s="62">
        <v>3.2000000000000001E-2</v>
      </c>
      <c r="CG66" s="15">
        <v>2018</v>
      </c>
      <c r="CH66" s="696">
        <v>9.1999999999999998E-2</v>
      </c>
      <c r="CI66" s="694">
        <v>6.8000000000000005E-2</v>
      </c>
      <c r="CJ66" s="313">
        <f>CJ65</f>
        <v>5.0000000000000001E-3</v>
      </c>
      <c r="CK66" s="320">
        <v>0.98250000000000004</v>
      </c>
      <c r="CL66" s="313">
        <f>CL65</f>
        <v>7.4999999999999997E-3</v>
      </c>
      <c r="CM66" s="314">
        <v>9.4999999999999998E-3</v>
      </c>
      <c r="CN66" s="314">
        <v>9.4999999999999998E-3</v>
      </c>
      <c r="CO66" s="318">
        <f>CO65</f>
        <v>2.4000000000000001E-4</v>
      </c>
    </row>
    <row r="67" spans="1:96" s="4" customFormat="1" x14ac:dyDescent="0.25">
      <c r="A67" s="15">
        <v>2019</v>
      </c>
      <c r="B67" s="54">
        <f>IF($F$1=1.8%,LOOKUP($A67,Prix!B$6:B$127,Prix!$G$6:$G$127),IF($F$1=1.5%,LOOKUP($A67,Prix!B$6:B$127,Prix!$H$6:$H$127),IF($F$1=1.3%,LOOKUP($A67,Prix!B$6:B$127,Prix!$I$6:$I$127),LOOKUP($A67,Prix!B$6:B$127,Prix!$J$6:$J$127))))</f>
        <v>1.1058298574061487E-2</v>
      </c>
      <c r="C67" s="7">
        <f>C68/(1+B67)</f>
        <v>0.98434068557242427</v>
      </c>
      <c r="D67" s="56">
        <f>IF($F$1=1.8%,LOOKUP($A67,SMPT!$B$6:$B$127,SMPT!$C$6:$C$127),IF($F$1=1.5%,LOOKUP($A67,SMPT!$B$6:$B$127,SMPT!$D$6:$D$127),IF($F$1=1.3%,LOOKUP($A67,SMPT!$B$6:$B$127,SMPT!$E$6:$E$127),LOOKUP($A67,SMPT!$B$6:$B$127,SMPT!$F$6:$F$127))))</f>
        <v>37606.680264201917</v>
      </c>
      <c r="E67" s="58">
        <f t="shared" si="22"/>
        <v>1.5224170894443168E-2</v>
      </c>
      <c r="F67" s="56">
        <f>IF($F$1=1.8%,LOOKUP($A67,SMIC!$B$6:$B$125,SMIC!$C$6:$C$125),IF($F$1=1.5%,LOOKUP($A67,SMIC!$B$6:$B$125,SMIC!$D$6:$D$125),IF($F$1=1.3%,LOOKUP($A67,SMIC!$B$6:$B$125,SMIC!$E$6:$E$125),LOOKUP($A67,SMIC!$B$6:$B$125,SMIC!$F$6:$F$125))))</f>
        <v>18254.599999999999</v>
      </c>
      <c r="G67" s="153">
        <f t="shared" si="18"/>
        <v>1.0238948752799184</v>
      </c>
      <c r="H67" s="357">
        <f t="shared" ref="H67:H130" si="23">V67/V66-1</f>
        <v>1.9933554817275656E-2</v>
      </c>
      <c r="I67" s="15">
        <v>2019</v>
      </c>
      <c r="J67" s="49"/>
      <c r="K67" s="62">
        <v>0.17749999999999999</v>
      </c>
      <c r="L67" s="668">
        <v>0.10450000000000001</v>
      </c>
      <c r="M67" s="668">
        <v>7.2999999999999995E-2</v>
      </c>
      <c r="N67" s="62">
        <f t="shared" si="16"/>
        <v>2.3000000000000003E-2</v>
      </c>
      <c r="O67" s="62">
        <f>IF(Simulation!$D$43="Oui",$Q67,0)</f>
        <v>1.9000000000000003E-2</v>
      </c>
      <c r="P67" s="62">
        <f>IF(Simulation!$D$43="Oui",$R67,0)</f>
        <v>4.0000000000000001E-3</v>
      </c>
      <c r="Q67" s="678">
        <v>1.9000000000000003E-2</v>
      </c>
      <c r="R67" s="678">
        <v>4.0000000000000001E-3</v>
      </c>
      <c r="S67" s="56">
        <f>IF($F$1=1.8%,LOOKUP($A67,Sal_valid!$B$6:$B$127,Sal_valid!$C$6:$C$127),IF($F$1=1.5%,LOOKUP($A67,Sal_valid!$B$6:$B$127,Sal_valid!$D$6:$D$127),IF($F$1=1.3%,LOOKUP($A67,Sal_valid!$B$6:$B$127,Sal_valid!$E$6:$E$127),LOOKUP($A67,Sal_valid!$B$6:$B$127,Sal_valid!$F$6:$F$127))))</f>
        <v>1504.5</v>
      </c>
      <c r="T67" s="73">
        <f>Revalo_RB!$D79</f>
        <v>0.01</v>
      </c>
      <c r="U67" s="73">
        <f>Revalo_RB!$H79</f>
        <v>3.0000000000000001E-3</v>
      </c>
      <c r="V67" s="56">
        <f>IF($F$1=1.8%,LOOKUP($A67,PSS!$B$6:$B$127,PSS!$C$6:$C$127),IF($F$1=1.5%,LOOKUP($A67,PSS!$B$6:$B$127,PSS!$D$6:$D$127),IF($F$1=1.3%,LOOKUP($A67,PSS!$B$6:$B$127,PSS!$E$6:$E$127),LOOKUP($A67,PSS!$B$6:$B$127,PSS!$F$6:$F$127))))</f>
        <v>40524</v>
      </c>
      <c r="W67" s="56">
        <f>IF($F$1=1.8%,LOOKUP($A67,Smic_AVPF!$B$6:$B$104,Smic_AVPF!$C$6:$C$104),IF($F$1=1.5%,LOOKUP($A67,Smic_AVPF!$B$6:$B$104,Smic_AVPF!$D$6:$D$104),IF($F$1=1.3%,LOOKUP($A67,Smic_AVPF!$B$6:$B$104,Smic_AVPF!$E$6:$E$104),LOOKUP($A67,Smic_AVPF!$B$6:$B$104,Smic_AVPF!$F$6:$F$104))))</f>
        <v>20036.640000000003</v>
      </c>
      <c r="X67" s="56">
        <f>Minima!$O16</f>
        <v>7638.78</v>
      </c>
      <c r="Y67" s="56">
        <f>Minima!$P16</f>
        <v>8347.09</v>
      </c>
      <c r="Z67" s="56">
        <f t="shared" si="19"/>
        <v>14240.508622068266</v>
      </c>
      <c r="AA67" s="58"/>
      <c r="AB67" s="15">
        <v>2019</v>
      </c>
      <c r="AC67" s="54">
        <v>6.2E-2</v>
      </c>
      <c r="AD67" s="62">
        <v>3.7200000000000004E-2</v>
      </c>
      <c r="AE67" s="62">
        <v>2.4799999999999996E-2</v>
      </c>
      <c r="AF67" s="62">
        <v>0.17</v>
      </c>
      <c r="AG67" s="62">
        <v>0.10200000000000001</v>
      </c>
      <c r="AH67" s="62">
        <v>6.8000000000000005E-2</v>
      </c>
      <c r="AI67" s="63">
        <v>1.27</v>
      </c>
      <c r="AJ67" s="63"/>
      <c r="AK67" s="63"/>
      <c r="AL67" s="62">
        <f t="shared" si="20"/>
        <v>3.4999999999999996E-3</v>
      </c>
      <c r="AM67" s="673">
        <f>IF(Simulation!$D$42="Oui",Barèmes!$AO67,0)</f>
        <v>2.0999999999999999E-3</v>
      </c>
      <c r="AN67" s="673">
        <f>IF(Simulation!$D$42="Oui",Barèmes!$AP67,0)</f>
        <v>1.3999999999999998E-3</v>
      </c>
      <c r="AO67" s="678">
        <v>2.0999999999999999E-3</v>
      </c>
      <c r="AP67" s="678">
        <v>1.3999999999999998E-3</v>
      </c>
      <c r="AQ67" s="668">
        <f t="shared" si="15"/>
        <v>2.1499999999999998E-2</v>
      </c>
      <c r="AR67" s="668">
        <f>IF(Simulation!$D$42="Oui",Barèmes!$AT67,0)</f>
        <v>1.29E-2</v>
      </c>
      <c r="AS67" s="668">
        <f>IF(Simulation!$D$42="Oui",Barèmes!$AU67,0)</f>
        <v>8.6E-3</v>
      </c>
      <c r="AT67" s="678">
        <v>1.29E-2</v>
      </c>
      <c r="AU67" s="678">
        <v>8.6E-3</v>
      </c>
      <c r="AV67" s="668">
        <f t="shared" si="21"/>
        <v>2.7000000000000003E-2</v>
      </c>
      <c r="AW67" s="668">
        <f>IF(Simulation!$D$42="Oui",Barèmes!$AY67,0)</f>
        <v>1.6200000000000003E-2</v>
      </c>
      <c r="AX67" s="668">
        <f>IF(Simulation!$D$42="Oui",Barèmes!$AZ67,0)</f>
        <v>1.0800000000000001E-2</v>
      </c>
      <c r="AY67" s="678">
        <v>1.6200000000000003E-2</v>
      </c>
      <c r="AZ67" s="678">
        <v>1.0800000000000001E-2</v>
      </c>
      <c r="BA67" s="69">
        <f>IF($F$1=1.8%,LOOKUP($A67,'AGIRC-ARRCO'!$B$6:$B$57,'AGIRC-ARRCO'!$C$6:$C$57),IF($F$1=1.5%,LOOKUP($A67,'AGIRC-ARRCO'!$B$6:$B$57,'AGIRC-ARRCO'!$D$6:$D$57),IF($F$1=1.3%,LOOKUP($A67,'AGIRC-ARRCO'!$B$6:$B$57,'AGIRC-ARRCO'!$E$6:$E$57),LOOKUP($A67,'AGIRC-ARRCO'!$B$6:$B$57,'AGIRC-ARRCO'!$F$6:$F$57))))</f>
        <v>17.057099999999998</v>
      </c>
      <c r="BB67" s="69"/>
      <c r="BC67" s="69"/>
      <c r="BD67" s="69">
        <f>IF($F$1=1.8%,LOOKUP($A67,'AGIRC-ARRCO'!$B$6:$B$57,'AGIRC-ARRCO'!$G$6:$G$57),IF($F$1=1.5%,LOOKUP($A67,'AGIRC-ARRCO'!$B$6:$B$57,'AGIRC-ARRCO'!$H$6:$H$57),IF($F$1=1.3%,LOOKUP($A67,'AGIRC-ARRCO'!$B$6:$B$57,'AGIRC-ARRCO'!$I$6:$I$57),LOOKUP($A67,'AGIRC-ARRCO'!$B$6:$B$57,'AGIRC-ARRCO'!$J$6:$J$57))))</f>
        <v>1.2714000000000001</v>
      </c>
      <c r="BE67" s="69"/>
      <c r="BF67" s="69"/>
      <c r="BG67" s="71">
        <f>10/12*BD66+2/12*BD67</f>
        <v>1.2608999999999999</v>
      </c>
      <c r="BH67" s="47"/>
      <c r="BI67" s="47"/>
      <c r="BJ67" s="47"/>
      <c r="BL67" s="15">
        <v>2019</v>
      </c>
      <c r="BM67" s="13">
        <v>11128</v>
      </c>
      <c r="BN67" s="5">
        <v>14548</v>
      </c>
      <c r="BO67" s="5">
        <v>22580</v>
      </c>
      <c r="BP67" s="5" t="s">
        <v>22</v>
      </c>
      <c r="BQ67" s="146">
        <v>0</v>
      </c>
      <c r="BR67" s="62">
        <v>4.2999999999999997E-2</v>
      </c>
      <c r="BS67" s="146">
        <v>7.3999999999999996E-2</v>
      </c>
      <c r="BT67" s="668">
        <v>9.0999999999999998E-2</v>
      </c>
      <c r="BV67" s="15">
        <v>2019</v>
      </c>
      <c r="BW67" s="13">
        <v>14099</v>
      </c>
      <c r="BX67" s="689">
        <v>18432</v>
      </c>
      <c r="BY67" s="689">
        <v>28608</v>
      </c>
      <c r="BZ67" s="5" t="s">
        <v>22</v>
      </c>
      <c r="CA67" s="146">
        <f>BQ67</f>
        <v>0</v>
      </c>
      <c r="CB67" s="146">
        <f t="shared" ref="CB67:CD67" si="24">BR67</f>
        <v>4.2999999999999997E-2</v>
      </c>
      <c r="CC67" s="146">
        <f t="shared" si="24"/>
        <v>7.3999999999999996E-2</v>
      </c>
      <c r="CD67" s="146">
        <f t="shared" si="24"/>
        <v>9.0999999999999998E-2</v>
      </c>
      <c r="CE67" s="62">
        <v>3.2000000000000001E-2</v>
      </c>
      <c r="CG67" s="15">
        <v>2019</v>
      </c>
      <c r="CH67" s="696">
        <v>9.1999999999999998E-2</v>
      </c>
      <c r="CI67" s="311">
        <f>CI66</f>
        <v>6.8000000000000005E-2</v>
      </c>
      <c r="CJ67" s="311">
        <f>CJ66</f>
        <v>5.0000000000000001E-3</v>
      </c>
      <c r="CK67" s="311">
        <f>CK66</f>
        <v>0.98250000000000004</v>
      </c>
      <c r="CL67" s="313">
        <v>0</v>
      </c>
      <c r="CM67" s="313">
        <v>0</v>
      </c>
      <c r="CN67" s="313">
        <v>0</v>
      </c>
      <c r="CO67" s="318">
        <f>CO66</f>
        <v>2.4000000000000001E-4</v>
      </c>
    </row>
    <row r="68" spans="1:96" x14ac:dyDescent="0.25">
      <c r="A68" s="15">
        <v>2020</v>
      </c>
      <c r="B68" s="54">
        <f>IF($F$1=1.8%,LOOKUP($A68,Prix!B$6:B$127,Prix!$G$6:$G$127),IF($F$1=1.5%,LOOKUP($A68,Prix!B$6:B$127,Prix!$H$6:$H$127),IF($F$1=1.3%,LOOKUP($A68,Prix!B$6:B$127,Prix!$I$6:$I$127),LOOKUP($A68,Prix!B$6:B$127,Prix!$J$6:$J$127))))</f>
        <v>4.7970833733090856E-3</v>
      </c>
      <c r="C68" s="7">
        <f>C69/(1+B68)</f>
        <v>0.99522581877208049</v>
      </c>
      <c r="D68" s="5">
        <f>IF($F$1=1.8%,LOOKUP($A68,SMPT!$B$6:$B$127,SMPT!$C$6:$C$127),IF($F$1=1.5%,LOOKUP($A68,SMPT!$B$6:$B$127,SMPT!$D$6:$D$127),IF($F$1=1.3%,LOOKUP($A68,SMPT!$B$6:$B$127,SMPT!$E$6:$E$127),LOOKUP($A68,SMPT!$B$6:$B$127,SMPT!$F$6:$F$127))))</f>
        <v>36729.044330767632</v>
      </c>
      <c r="E68" s="59">
        <f t="shared" si="22"/>
        <v>-2.3337234961143705E-2</v>
      </c>
      <c r="F68" s="60">
        <f>IF($F$1=1.8%,LOOKUP($A68,SMIC!$B$6:$B$125,SMIC!$C$6:$C$125),IF($F$1=1.5%,LOOKUP($A68,SMIC!$B$6:$B$125,SMIC!$D$6:$D$125),IF($F$1=1.3%,LOOKUP($A68,SMIC!$B$6:$B$125,SMIC!$E$6:$E$125),LOOKUP($A68,SMIC!$B$6:$B$125,SMIC!$F$6:$F$125))))</f>
        <v>18473.655200000001</v>
      </c>
      <c r="G68" s="153">
        <f>D68/D$68</f>
        <v>1</v>
      </c>
      <c r="H68" s="357">
        <f t="shared" si="23"/>
        <v>1.5102161681966209E-2</v>
      </c>
      <c r="I68" s="15">
        <v>2020</v>
      </c>
      <c r="J68" s="13">
        <v>21112</v>
      </c>
      <c r="K68" s="62">
        <v>0.17749999999999999</v>
      </c>
      <c r="L68" s="668">
        <v>0.10450000000000001</v>
      </c>
      <c r="M68" s="668">
        <v>7.2999999999999995E-2</v>
      </c>
      <c r="N68" s="62">
        <f t="shared" si="16"/>
        <v>2.3000000000000003E-2</v>
      </c>
      <c r="O68" s="62">
        <f>IF(Simulation!$D$43="Oui",$Q68,0)</f>
        <v>1.9000000000000003E-2</v>
      </c>
      <c r="P68" s="62">
        <f>IF(Simulation!$D$43="Oui",$R68,0)</f>
        <v>4.0000000000000001E-3</v>
      </c>
      <c r="Q68" s="678">
        <v>1.9000000000000003E-2</v>
      </c>
      <c r="R68" s="678">
        <v>4.0000000000000001E-3</v>
      </c>
      <c r="S68" s="56">
        <f>IF($F$1=1.8%,LOOKUP($A68,Sal_valid!$B$6:$B$127,Sal_valid!$C$6:$C$127),IF($F$1=1.5%,LOOKUP($A68,Sal_valid!$B$6:$B$127,Sal_valid!$D$6:$D$127),IF($F$1=1.3%,LOOKUP($A68,Sal_valid!$B$6:$B$127,Sal_valid!$E$6:$E$127),LOOKUP($A68,Sal_valid!$B$6:$B$127,Sal_valid!$F$6:$F$127))))</f>
        <v>1522.5</v>
      </c>
      <c r="T68" s="73">
        <f>Revalo_RB!$D80</f>
        <v>3.9816282044060625E-3</v>
      </c>
      <c r="U68" s="73">
        <f>Revalo_RB!$H80</f>
        <v>0.01</v>
      </c>
      <c r="V68" s="56">
        <f>IF($F$1=1.8%,LOOKUP($A68,PSS!$B$6:$B$127,PSS!$C$6:$C$127),IF($F$1=1.5%,LOOKUP($A68,PSS!$B$6:$B$127,PSS!$D$6:$D$127),IF($F$1=1.3%,LOOKUP($A68,PSS!$B$6:$B$127,PSS!$E$6:$E$127),LOOKUP($A68,PSS!$B$6:$B$127,PSS!$F$6:$F$127))))</f>
        <v>41136</v>
      </c>
      <c r="W68" s="56">
        <f>IF($F$1=1.8%,LOOKUP($A68,Smic_AVPF!$B$6:$B$104,Smic_AVPF!$C$6:$C$104),IF($F$1=1.5%,LOOKUP($A68,Smic_AVPF!$B$6:$B$104,Smic_AVPF!$D$6:$D$104),IF($F$1=1.3%,LOOKUP($A68,Smic_AVPF!$B$6:$B$104,Smic_AVPF!$E$6:$E$104),LOOKUP($A68,Smic_AVPF!$B$6:$B$104,Smic_AVPF!$F$6:$F$104))))</f>
        <v>20340.84</v>
      </c>
      <c r="X68" s="56">
        <f>Minima!$O17</f>
        <v>7715.16</v>
      </c>
      <c r="Y68" s="56">
        <f>Minima!$P17</f>
        <v>8430.56</v>
      </c>
      <c r="Z68" s="56">
        <f>Z69/Y69*Y68</f>
        <v>14382.912172848721</v>
      </c>
      <c r="AA68" s="58"/>
      <c r="AB68" s="15">
        <v>2020</v>
      </c>
      <c r="AC68" s="54">
        <v>6.2E-2</v>
      </c>
      <c r="AD68" s="62">
        <v>3.7200000000000004E-2</v>
      </c>
      <c r="AE68" s="62">
        <v>2.4799999999999996E-2</v>
      </c>
      <c r="AF68" s="62">
        <v>0.17</v>
      </c>
      <c r="AG68" s="62">
        <v>0.10200000000000001</v>
      </c>
      <c r="AH68" s="62">
        <v>6.8000000000000005E-2</v>
      </c>
      <c r="AI68" s="63">
        <v>1.27</v>
      </c>
      <c r="AJ68" s="63"/>
      <c r="AK68" s="63"/>
      <c r="AL68" s="62">
        <f t="shared" si="20"/>
        <v>3.4999999999999996E-3</v>
      </c>
      <c r="AM68" s="673">
        <f>IF(Simulation!$D$42="Oui",Barèmes!$AO68,0)</f>
        <v>2.0999999999999999E-3</v>
      </c>
      <c r="AN68" s="673">
        <f>IF(Simulation!$D$42="Oui",Barèmes!$AP68,0)</f>
        <v>1.3999999999999998E-3</v>
      </c>
      <c r="AO68" s="678">
        <v>2.0999999999999999E-3</v>
      </c>
      <c r="AP68" s="678">
        <v>1.3999999999999998E-3</v>
      </c>
      <c r="AQ68" s="668">
        <f t="shared" si="15"/>
        <v>2.1499999999999998E-2</v>
      </c>
      <c r="AR68" s="668">
        <f>IF(Simulation!$D$42="Oui",Barèmes!$AT68,0)</f>
        <v>1.29E-2</v>
      </c>
      <c r="AS68" s="668">
        <f>IF(Simulation!$D$42="Oui",Barèmes!$AU68,0)</f>
        <v>8.6E-3</v>
      </c>
      <c r="AT68" s="678">
        <v>1.29E-2</v>
      </c>
      <c r="AU68" s="678">
        <v>8.6E-3</v>
      </c>
      <c r="AV68" s="668">
        <f t="shared" si="21"/>
        <v>2.7000000000000003E-2</v>
      </c>
      <c r="AW68" s="668">
        <f>IF(Simulation!$D$42="Oui",Barèmes!$AY68,0)</f>
        <v>1.6200000000000003E-2</v>
      </c>
      <c r="AX68" s="668">
        <f>IF(Simulation!$D$42="Oui",Barèmes!$AZ68,0)</f>
        <v>1.0800000000000001E-2</v>
      </c>
      <c r="AY68" s="678">
        <v>1.6200000000000003E-2</v>
      </c>
      <c r="AZ68" s="678">
        <v>1.0800000000000001E-2</v>
      </c>
      <c r="BA68" s="69">
        <f>IF($F$1=1.8%,LOOKUP($A68,'AGIRC-ARRCO'!$B$6:$B$57,'AGIRC-ARRCO'!$C$6:$C$57),IF($F$1=1.5%,LOOKUP($A68,'AGIRC-ARRCO'!$B$6:$B$57,'AGIRC-ARRCO'!$D$6:$D$57),IF($F$1=1.3%,LOOKUP($A68,'AGIRC-ARRCO'!$B$6:$B$57,'AGIRC-ARRCO'!$E$6:$E$57),LOOKUP($A68,'AGIRC-ARRCO'!$B$6:$B$57,'AGIRC-ARRCO'!$F$6:$F$57))))</f>
        <v>17.398199999999999</v>
      </c>
      <c r="BB68" s="69"/>
      <c r="BC68" s="69"/>
      <c r="BD68" s="69">
        <f>IF($F$1=1.8%,LOOKUP($A68,'AGIRC-ARRCO'!$B$6:$B$57,'AGIRC-ARRCO'!$G$6:$G$57),IF($F$1=1.5%,LOOKUP($A68,'AGIRC-ARRCO'!$B$6:$B$57,'AGIRC-ARRCO'!$H$6:$H$57),IF($F$1=1.3%,LOOKUP($A68,'AGIRC-ARRCO'!$B$6:$B$57,'AGIRC-ARRCO'!$I$6:$I$57),LOOKUP($A68,'AGIRC-ARRCO'!$B$6:$B$57,'AGIRC-ARRCO'!$J$6:$J$57))))</f>
        <v>1.2714000000000001</v>
      </c>
      <c r="BE68" s="69"/>
      <c r="BF68" s="69"/>
      <c r="BG68" s="71">
        <f>10/12*BD67+2/12*BD68</f>
        <v>1.2714000000000001</v>
      </c>
      <c r="BH68" s="71"/>
      <c r="BI68" s="71"/>
      <c r="BJ68" s="18">
        <v>2094</v>
      </c>
      <c r="BL68" s="15">
        <v>2020</v>
      </c>
      <c r="BM68" s="13">
        <v>11408</v>
      </c>
      <c r="BN68" s="5">
        <v>14914</v>
      </c>
      <c r="BO68" s="5">
        <v>23146</v>
      </c>
      <c r="BP68" s="5" t="s">
        <v>22</v>
      </c>
      <c r="BQ68" s="146">
        <v>0</v>
      </c>
      <c r="BR68" s="146">
        <v>4.2999999999999997E-2</v>
      </c>
      <c r="BS68" s="146">
        <v>7.3999999999999996E-2</v>
      </c>
      <c r="BT68" s="146">
        <v>9.0999999999999998E-2</v>
      </c>
      <c r="BV68" s="15">
        <v>2020</v>
      </c>
      <c r="BW68" s="13">
        <v>17500</v>
      </c>
      <c r="BX68" s="5">
        <v>22878</v>
      </c>
      <c r="BY68" s="5">
        <v>35504</v>
      </c>
      <c r="BZ68" s="5" t="s">
        <v>22</v>
      </c>
      <c r="CA68" s="146">
        <v>0</v>
      </c>
      <c r="CB68" s="146">
        <v>4.2999999999999997E-2</v>
      </c>
      <c r="CC68" s="146">
        <v>7.3999999999999996E-2</v>
      </c>
      <c r="CD68" s="146">
        <v>9.0999999999999998E-2</v>
      </c>
      <c r="CE68" s="146">
        <v>3.2000000000000001E-2</v>
      </c>
      <c r="CG68" s="15">
        <v>2020</v>
      </c>
      <c r="CH68" s="696">
        <v>9.1999999999999998E-2</v>
      </c>
      <c r="CI68" s="311">
        <f t="shared" ref="CI68:CI131" si="25">CI67</f>
        <v>6.8000000000000005E-2</v>
      </c>
      <c r="CJ68" s="311">
        <f t="shared" ref="CJ68:CK131" si="26">CJ67</f>
        <v>5.0000000000000001E-3</v>
      </c>
      <c r="CK68" s="311">
        <f t="shared" si="26"/>
        <v>0.98250000000000004</v>
      </c>
      <c r="CL68" s="313">
        <f t="shared" ref="CL68:CL131" si="27">CL67</f>
        <v>0</v>
      </c>
      <c r="CM68" s="313">
        <v>0</v>
      </c>
      <c r="CN68" s="313">
        <v>0</v>
      </c>
      <c r="CO68" s="318">
        <f t="shared" ref="CO68:CO131" si="28">CO67</f>
        <v>2.4000000000000001E-4</v>
      </c>
      <c r="CQ68" s="328"/>
      <c r="CR68" s="328"/>
    </row>
    <row r="69" spans="1:96" x14ac:dyDescent="0.25">
      <c r="A69" s="15">
        <v>2021</v>
      </c>
      <c r="B69" s="54">
        <f>IF($F$1=1.8%,LOOKUP($A69,Prix!B$6:B$127,Prix!$G$6:$G$127),IF($F$1=1.5%,LOOKUP($A69,Prix!B$6:B$127,Prix!$H$6:$H$127),IF($F$1=1.3%,LOOKUP($A69,Prix!B$6:B$127,Prix!$I$6:$I$127),LOOKUP($A69,Prix!B$6:B$127,Prix!$J$6:$J$127))))</f>
        <v>1.1000000000000001E-2</v>
      </c>
      <c r="C69" s="7">
        <v>1</v>
      </c>
      <c r="D69" s="5">
        <f>IF($F$1=1.8%,LOOKUP($A69,SMPT!$B$6:$B$127,SMPT!$C$6:$C$127),IF($F$1=1.5%,LOOKUP($A69,SMPT!$B$6:$B$127,SMPT!$D$6:$D$127),IF($F$1=1.3%,LOOKUP($A69,SMPT!$B$6:$B$127,SMPT!$E$6:$E$127),LOOKUP($A69,SMPT!$B$6:$B$127,SMPT!$F$6:$F$127))))</f>
        <v>38247.055732958252</v>
      </c>
      <c r="E69" s="17">
        <f>D69/D68-1</f>
        <v>4.1329999999999867E-2</v>
      </c>
      <c r="F69" s="60">
        <f>IF($F$1=1.8%,LOOKUP($A69,SMIC!$B$6:$B$125,SMIC!$C$6:$C$125),IF($F$1=1.5%,LOOKUP($A69,SMIC!$B$6:$B$125,SMIC!$D$6:$D$125),IF($F$1=1.3%,LOOKUP($A69,SMIC!$B$6:$B$125,SMIC!$E$6:$E$125),LOOKUP($A69,SMIC!$B$6:$B$125,SMIC!$F$6:$F$125))))</f>
        <v>18658.391752</v>
      </c>
      <c r="G69" s="153">
        <f t="shared" ref="G69:G132" si="29">D69/D$68</f>
        <v>1.0413299999999999</v>
      </c>
      <c r="H69" s="357">
        <f t="shared" si="23"/>
        <v>0</v>
      </c>
      <c r="I69" s="15">
        <v>2021</v>
      </c>
      <c r="J69" s="13">
        <f>5330*4</f>
        <v>21320</v>
      </c>
      <c r="K69" s="62">
        <v>0.17749999999999999</v>
      </c>
      <c r="L69" s="668">
        <v>0.10450000000000001</v>
      </c>
      <c r="M69" s="668">
        <v>7.2999999999999995E-2</v>
      </c>
      <c r="N69" s="62">
        <f t="shared" si="16"/>
        <v>2.3000000000000003E-2</v>
      </c>
      <c r="O69" s="62">
        <f>IF(Simulation!$D$43="Oui",$Q69,0)</f>
        <v>1.9000000000000003E-2</v>
      </c>
      <c r="P69" s="62">
        <f>IF(Simulation!$D$43="Oui",$R69,0)</f>
        <v>4.0000000000000001E-3</v>
      </c>
      <c r="Q69" s="678">
        <v>1.9000000000000003E-2</v>
      </c>
      <c r="R69" s="678">
        <v>4.0000000000000001E-3</v>
      </c>
      <c r="S69" s="56">
        <f>IF($F$1=1.8%,LOOKUP($A69,Sal_valid!$B$6:$B$127,Sal_valid!$C$6:$C$127),IF($F$1=1.5%,LOOKUP($A69,Sal_valid!$B$6:$B$127,Sal_valid!$D$6:$D$127),IF($F$1=1.3%,LOOKUP($A69,Sal_valid!$B$6:$B$127,Sal_valid!$E$6:$E$127),LOOKUP($A69,Sal_valid!$B$6:$B$127,Sal_valid!$F$6:$F$127))))</f>
        <v>1537.7250000000004</v>
      </c>
      <c r="T69" s="73">
        <f>Revalo_RB!$D81</f>
        <v>7.4713057737119115E-3</v>
      </c>
      <c r="U69" s="73">
        <f>Revalo_RB!$H81</f>
        <v>3.9816282044060625E-3</v>
      </c>
      <c r="V69" s="56">
        <f>IF($F$1=1.8%,LOOKUP($A69,PSS!$B$6:$B$127,PSS!$C$6:$C$127),IF($F$1=1.5%,LOOKUP($A69,PSS!$B$6:$B$127,PSS!$D$6:$D$127),IF($F$1=1.3%,LOOKUP($A69,PSS!$B$6:$B$127,PSS!$E$6:$E$127),LOOKUP($A69,PSS!$B$6:$B$127,PSS!$F$6:$F$127))))</f>
        <v>41136</v>
      </c>
      <c r="W69" s="56">
        <f>IF($F$1=1.8%,LOOKUP($A69,Smic_AVPF!$B$6:$B$104,Smic_AVPF!$C$6:$C$104),IF($F$1=1.5%,LOOKUP($A69,Smic_AVPF!$B$6:$B$104,Smic_AVPF!$D$6:$D$104),IF($F$1=1.3%,LOOKUP($A69,Smic_AVPF!$B$6:$B$104,Smic_AVPF!$E$6:$E$104),LOOKUP($A69,Smic_AVPF!$B$6:$B$104,Smic_AVPF!$F$6:$F$104))))</f>
        <v>20824.2</v>
      </c>
      <c r="X69" s="56">
        <f>Minima!$O18</f>
        <v>7746.02</v>
      </c>
      <c r="Y69" s="56">
        <f>Minima!$P18</f>
        <v>8464.2800000000007</v>
      </c>
      <c r="Z69" s="56">
        <f>1203.37*12</f>
        <v>14440.439999999999</v>
      </c>
      <c r="AA69" s="58"/>
      <c r="AB69" s="15">
        <v>2021</v>
      </c>
      <c r="AC69" s="54">
        <v>6.2E-2</v>
      </c>
      <c r="AD69" s="62">
        <v>3.7200000000000004E-2</v>
      </c>
      <c r="AE69" s="62">
        <v>2.4799999999999996E-2</v>
      </c>
      <c r="AF69" s="62">
        <v>0.17</v>
      </c>
      <c r="AG69" s="62">
        <v>0.10200000000000001</v>
      </c>
      <c r="AH69" s="62">
        <v>6.8000000000000005E-2</v>
      </c>
      <c r="AI69" s="63">
        <v>1.27</v>
      </c>
      <c r="AJ69" s="63"/>
      <c r="AK69" s="63"/>
      <c r="AL69" s="62">
        <f t="shared" si="20"/>
        <v>3.4999999999999996E-3</v>
      </c>
      <c r="AM69" s="673">
        <f>IF(Simulation!$D$42="Oui",Barèmes!$AO69,0)</f>
        <v>2.0999999999999999E-3</v>
      </c>
      <c r="AN69" s="673">
        <f>IF(Simulation!$D$42="Oui",Barèmes!$AP69,0)</f>
        <v>1.3999999999999998E-3</v>
      </c>
      <c r="AO69" s="678">
        <v>2.0999999999999999E-3</v>
      </c>
      <c r="AP69" s="678">
        <v>1.3999999999999998E-3</v>
      </c>
      <c r="AQ69" s="668">
        <f t="shared" si="15"/>
        <v>2.1499999999999998E-2</v>
      </c>
      <c r="AR69" s="668">
        <f>IF(Simulation!$D$42="Oui",Barèmes!$AT69,0)</f>
        <v>1.29E-2</v>
      </c>
      <c r="AS69" s="668">
        <f>IF(Simulation!$D$42="Oui",Barèmes!$AU69,0)</f>
        <v>8.6E-3</v>
      </c>
      <c r="AT69" s="678">
        <v>1.29E-2</v>
      </c>
      <c r="AU69" s="678">
        <v>8.6E-3</v>
      </c>
      <c r="AV69" s="668">
        <f t="shared" si="21"/>
        <v>2.7000000000000003E-2</v>
      </c>
      <c r="AW69" s="668">
        <f>IF(Simulation!$D$42="Oui",Barèmes!$AY69,0)</f>
        <v>1.6200000000000003E-2</v>
      </c>
      <c r="AX69" s="668">
        <f>IF(Simulation!$D$42="Oui",Barèmes!$AZ69,0)</f>
        <v>1.0800000000000001E-2</v>
      </c>
      <c r="AY69" s="678">
        <v>1.6200000000000003E-2</v>
      </c>
      <c r="AZ69" s="678">
        <v>1.0800000000000001E-2</v>
      </c>
      <c r="BA69" s="69">
        <f>IF($F$1=1.8%,LOOKUP($A69,'AGIRC-ARRCO'!$B$6:$B$57,'AGIRC-ARRCO'!$C$6:$C$57),IF($F$1=1.5%,LOOKUP($A69,'AGIRC-ARRCO'!$B$6:$B$57,'AGIRC-ARRCO'!$D$6:$D$57),IF($F$1=1.3%,LOOKUP($A69,'AGIRC-ARRCO'!$B$6:$B$57,'AGIRC-ARRCO'!$E$6:$E$57),LOOKUP($A69,'AGIRC-ARRCO'!$B$6:$B$57,'AGIRC-ARRCO'!$F$6:$F$57))))</f>
        <v>17.398199999999999</v>
      </c>
      <c r="BB69" s="69"/>
      <c r="BC69" s="69"/>
      <c r="BD69" s="69">
        <f>IF($F$1=1.8%,LOOKUP($A69,'AGIRC-ARRCO'!$B$6:$B$57,'AGIRC-ARRCO'!$G$6:$G$57),IF($F$1=1.5%,LOOKUP($A69,'AGIRC-ARRCO'!$B$6:$B$57,'AGIRC-ARRCO'!$H$6:$H$57),IF($F$1=1.3%,LOOKUP($A69,'AGIRC-ARRCO'!$B$6:$B$57,'AGIRC-ARRCO'!$I$6:$I$57),LOOKUP($A69,'AGIRC-ARRCO'!$B$6:$B$57,'AGIRC-ARRCO'!$J$6:$J$57))))</f>
        <v>1.2842</v>
      </c>
      <c r="BE69" s="69"/>
      <c r="BF69" s="69"/>
      <c r="BG69" s="71">
        <f t="shared" ref="BG69:BG132" si="30">10/12*BD68+2/12*BD69</f>
        <v>1.2735333333333334</v>
      </c>
      <c r="BH69" s="71"/>
      <c r="BI69" s="71"/>
      <c r="BJ69" s="18">
        <f t="shared" ref="BJ69:BJ100" si="31">BJ68*BD69/BD68</f>
        <v>2115.0816422840958</v>
      </c>
      <c r="BL69" s="15">
        <v>2021</v>
      </c>
      <c r="BM69" s="22">
        <f>BM68*IF(Simulation!$D$35="SMPT",1+$E69,IF(Simulation!$D$35="PRIX",1+$B69))</f>
        <v>11533.487999999999</v>
      </c>
      <c r="BN69" s="23">
        <f>BN68*IF(Simulation!$D$35="SMPT",1+$E69,IF(Simulation!$D$35="PRIX",1+$B69))</f>
        <v>15078.053999999998</v>
      </c>
      <c r="BO69" s="23">
        <f>BO68*IF(Simulation!$D$35="SMPT",1+$E69,IF(Simulation!$D$35="PRIX",1+$B69))</f>
        <v>23400.605999999996</v>
      </c>
      <c r="BP69" s="5"/>
      <c r="BQ69" s="146">
        <v>0</v>
      </c>
      <c r="BR69" s="146">
        <v>4.2999999999999997E-2</v>
      </c>
      <c r="BS69" s="146">
        <v>7.3999999999999996E-2</v>
      </c>
      <c r="BT69" s="146">
        <v>9.0999999999999998E-2</v>
      </c>
      <c r="BV69" s="15">
        <v>2021</v>
      </c>
      <c r="BW69" s="22">
        <f>BW68*IF(Simulation!$D$35="SMPT",1+$E69,IF(Simulation!$D$35="PRIX",1+$B69))</f>
        <v>17692.5</v>
      </c>
      <c r="BX69" s="23">
        <f>BX68*IF(Simulation!$D$35="SMPT",1+$E69,IF(Simulation!$D$35="PRIX",1+$B69))</f>
        <v>23129.657999999999</v>
      </c>
      <c r="BY69" s="23">
        <f>BY68*IF(Simulation!$D$35="SMPT",1+$E69,IF(Simulation!$D$35="PRIX",1+$B69))</f>
        <v>35894.543999999994</v>
      </c>
      <c r="BZ69" s="5"/>
      <c r="CA69" s="146">
        <v>0</v>
      </c>
      <c r="CB69" s="146">
        <f>CB68</f>
        <v>4.2999999999999997E-2</v>
      </c>
      <c r="CC69" s="146">
        <f t="shared" ref="CC69:CD69" si="32">CC68</f>
        <v>7.3999999999999996E-2</v>
      </c>
      <c r="CD69" s="146">
        <f t="shared" si="32"/>
        <v>9.0999999999999998E-2</v>
      </c>
      <c r="CE69" s="146">
        <f>CE68</f>
        <v>3.2000000000000001E-2</v>
      </c>
      <c r="CG69" s="15">
        <v>2021</v>
      </c>
      <c r="CH69" s="696">
        <v>9.1999999999999998E-2</v>
      </c>
      <c r="CI69" s="311">
        <f t="shared" si="25"/>
        <v>6.8000000000000005E-2</v>
      </c>
      <c r="CJ69" s="311">
        <f t="shared" si="26"/>
        <v>5.0000000000000001E-3</v>
      </c>
      <c r="CK69" s="311">
        <f t="shared" si="26"/>
        <v>0.98250000000000004</v>
      </c>
      <c r="CL69" s="313">
        <f t="shared" si="27"/>
        <v>0</v>
      </c>
      <c r="CM69" s="313">
        <v>0</v>
      </c>
      <c r="CN69" s="313">
        <v>0</v>
      </c>
      <c r="CO69" s="318">
        <f t="shared" si="28"/>
        <v>2.4000000000000001E-4</v>
      </c>
    </row>
    <row r="70" spans="1:96" x14ac:dyDescent="0.25">
      <c r="A70" s="15">
        <v>2022</v>
      </c>
      <c r="B70" s="54">
        <f>IF($F$1=1.8%,LOOKUP($A70,Prix!B$6:B$127,Prix!$G$6:$G$127),IF($F$1=1.5%,LOOKUP($A70,Prix!B$6:B$127,Prix!$H$6:$H$127),IF($F$1=1.3%,LOOKUP($A70,Prix!B$6:B$127,Prix!$I$6:$I$127),LOOKUP($A70,Prix!B$6:B$127,Prix!$J$6:$J$127))))</f>
        <v>8.0000000000000002E-3</v>
      </c>
      <c r="C70" s="7">
        <f t="shared" ref="C70:C101" si="33">C69*(1+B70)</f>
        <v>1.008</v>
      </c>
      <c r="D70" s="5">
        <f>IF($F$1=1.8%,LOOKUP($A70,SMPT!$B$6:$B$127,SMPT!$C$6:$C$127),IF($F$1=1.5%,LOOKUP($A70,SMPT!$B$6:$B$127,SMPT!$D$6:$D$127),IF($F$1=1.3%,LOOKUP($A70,SMPT!$B$6:$B$127,SMPT!$E$6:$E$127),LOOKUP($A70,SMPT!$B$6:$B$127,SMPT!$F$6:$F$127))))</f>
        <v>39208.433725861883</v>
      </c>
      <c r="E70" s="17">
        <f t="shared" ref="E70:E118" si="34">D70/D69-1</f>
        <v>2.5135999999999825E-2</v>
      </c>
      <c r="F70" s="60">
        <f>IF($F$1=1.8%,LOOKUP($A70,SMIC!$B$6:$B$125,SMIC!$C$6:$C$125),IF($F$1=1.5%,LOOKUP($A70,SMIC!$B$6:$B$125,SMIC!$D$6:$D$125),IF($F$1=1.3%,LOOKUP($A70,SMIC!$B$6:$B$125,SMIC!$E$6:$E$125),LOOKUP($A70,SMIC!$B$6:$B$125,SMIC!$F$6:$F$125))))</f>
        <v>18900.950844776002</v>
      </c>
      <c r="G70" s="153">
        <f t="shared" si="29"/>
        <v>1.0675048708799997</v>
      </c>
      <c r="H70" s="357">
        <f t="shared" si="23"/>
        <v>5.8343057176202251E-4</v>
      </c>
      <c r="I70" s="15">
        <v>2022</v>
      </c>
      <c r="J70" s="13">
        <f t="shared" ref="J70:J101" si="35">J69*F70/F69</f>
        <v>21597.160000000003</v>
      </c>
      <c r="K70" s="65">
        <f>K69</f>
        <v>0.17749999999999999</v>
      </c>
      <c r="L70" s="65">
        <f t="shared" ref="L70:L130" si="36">L69</f>
        <v>0.10450000000000001</v>
      </c>
      <c r="M70" s="65">
        <f t="shared" ref="M70:M129" si="37">K70-L70</f>
        <v>7.2999999999999982E-2</v>
      </c>
      <c r="N70" s="65">
        <f t="shared" si="16"/>
        <v>2.3000000000000003E-2</v>
      </c>
      <c r="O70" s="65">
        <f>IF(Simulation!$D$43="Oui",$Q70,0)</f>
        <v>1.9000000000000003E-2</v>
      </c>
      <c r="P70" s="65">
        <f>IF(Simulation!$D$43="Oui",$R70,0)</f>
        <v>4.0000000000000001E-3</v>
      </c>
      <c r="Q70" s="678">
        <f t="shared" ref="Q70:R130" si="38">Q69</f>
        <v>1.9000000000000003E-2</v>
      </c>
      <c r="R70" s="678">
        <f>R69</f>
        <v>4.0000000000000001E-3</v>
      </c>
      <c r="S70" s="56">
        <f>IF($F$1=1.8%,LOOKUP($A70,Sal_valid!$B$6:$B$127,Sal_valid!$C$6:$C$127),IF($F$1=1.5%,LOOKUP($A70,Sal_valid!$B$6:$B$127,Sal_valid!$D$6:$D$127),IF($F$1=1.3%,LOOKUP($A70,Sal_valid!$B$6:$B$127,Sal_valid!$E$6:$E$127),LOOKUP($A70,Sal_valid!$B$6:$B$127,Sal_valid!$F$6:$F$127))))</f>
        <v>1557.7154250000006</v>
      </c>
      <c r="T70" s="76">
        <f>IF(Simulation!$D$33="Prix",Revalo_RB!$D82,Barèmes!$E70)</f>
        <v>8.7527307519159603E-3</v>
      </c>
      <c r="U70" s="76">
        <f>IF(Simulation!$D$34="Prix",Revalo_RB!$H82,Barèmes!$E70)</f>
        <v>7.4713057737119115E-3</v>
      </c>
      <c r="V70" s="56">
        <f>IF($F$1=1.8%,LOOKUP($A70,PSS!$B$6:$B$127,PSS!$C$6:$C$127),IF($F$1=1.5%,LOOKUP($A70,PSS!$B$6:$B$127,PSS!$D$6:$D$127),IF($F$1=1.3%,LOOKUP($A70,PSS!$B$6:$B$127,PSS!$E$6:$E$127),LOOKUP($A70,PSS!$B$6:$B$127,PSS!$F$6:$F$127))))</f>
        <v>41160</v>
      </c>
      <c r="W70" s="56">
        <f>IF($F$1=1.8%,LOOKUP($A70,Smic_AVPF!$B$6:$B$104,Smic_AVPF!$C$6:$C$104),IF($F$1=1.5%,LOOKUP($A70,Smic_AVPF!$B$6:$B$104,Smic_AVPF!$D$6:$D$104),IF($F$1=1.3%,LOOKUP($A70,Smic_AVPF!$B$6:$B$104,Smic_AVPF!$E$6:$E$104),LOOKUP($A70,Smic_AVPF!$B$6:$B$104,Smic_AVPF!$F$6:$F$104))))</f>
        <v>20811.3236292</v>
      </c>
      <c r="X70" s="56">
        <f>IF(Simulation!$D$32="SMPT",(1+$E70)*X69,IF(Simulation!$D$32="PRIX",Minima!$O19))</f>
        <v>7813.8188274589565</v>
      </c>
      <c r="Y70" s="56">
        <f>IF(Simulation!$D$32="SMPT",(1+$E70)*Y69,IF(Simulation!$D$32="PRIX",Minima!$P19))</f>
        <v>8538.3655638488272</v>
      </c>
      <c r="Z70" s="56">
        <f>Z69*Y70/Y69</f>
        <v>14566.833283259195</v>
      </c>
      <c r="AA70" s="58"/>
      <c r="AB70" s="15">
        <v>2022</v>
      </c>
      <c r="AC70" s="64">
        <f>AC69</f>
        <v>6.2E-2</v>
      </c>
      <c r="AD70" s="65">
        <f t="shared" ref="AD70:AD132" si="39">AD69</f>
        <v>3.7200000000000004E-2</v>
      </c>
      <c r="AE70" s="65">
        <f>AC70-AD70</f>
        <v>2.4799999999999996E-2</v>
      </c>
      <c r="AF70" s="65">
        <f>AF69</f>
        <v>0.17</v>
      </c>
      <c r="AG70" s="65">
        <f t="shared" ref="AG70:AG132" si="40">AG69</f>
        <v>0.10200000000000001</v>
      </c>
      <c r="AH70" s="65">
        <f>AF70-AG70</f>
        <v>6.8000000000000005E-2</v>
      </c>
      <c r="AI70" s="66">
        <f>AI69</f>
        <v>1.27</v>
      </c>
      <c r="AJ70" s="66"/>
      <c r="AK70" s="66"/>
      <c r="AL70" s="65">
        <f t="shared" si="20"/>
        <v>3.4999999999999996E-3</v>
      </c>
      <c r="AM70" s="65">
        <f>IF(Simulation!$D$42="Oui",Barèmes!$AO70,0)</f>
        <v>2.0999999999999999E-3</v>
      </c>
      <c r="AN70" s="65">
        <f>IF(Simulation!$D$42="Oui",Barèmes!$AP70,0)</f>
        <v>1.3999999999999998E-3</v>
      </c>
      <c r="AO70" s="678">
        <f>AO69</f>
        <v>2.0999999999999999E-3</v>
      </c>
      <c r="AP70" s="678">
        <f>AP69</f>
        <v>1.3999999999999998E-3</v>
      </c>
      <c r="AQ70" s="65">
        <f t="shared" si="15"/>
        <v>2.1499999999999998E-2</v>
      </c>
      <c r="AR70" s="65">
        <f>IF(Simulation!$D$42="Oui",Barèmes!$AT70,0)</f>
        <v>1.29E-2</v>
      </c>
      <c r="AS70" s="65">
        <f>IF(Simulation!$D$42="Oui",Barèmes!$AU70,0)</f>
        <v>8.6E-3</v>
      </c>
      <c r="AT70" s="678">
        <f>AT69</f>
        <v>1.29E-2</v>
      </c>
      <c r="AU70" s="678">
        <f>AU69</f>
        <v>8.6E-3</v>
      </c>
      <c r="AV70" s="65">
        <f t="shared" si="21"/>
        <v>2.7000000000000003E-2</v>
      </c>
      <c r="AW70" s="65">
        <f>IF(Simulation!$D$42="Oui",Barèmes!$AY70,0)</f>
        <v>1.6200000000000003E-2</v>
      </c>
      <c r="AX70" s="65">
        <f>IF(Simulation!$D$42="Oui",Barèmes!$AZ70,0)</f>
        <v>1.0800000000000001E-2</v>
      </c>
      <c r="AY70" s="678">
        <f>AY69</f>
        <v>1.6200000000000003E-2</v>
      </c>
      <c r="AZ70" s="678">
        <f>AZ69</f>
        <v>1.0800000000000001E-2</v>
      </c>
      <c r="BA70" s="69">
        <f>IF($F$1=1.8%,LOOKUP($A70,'AGIRC-ARRCO'!$B$6:$B$57,'AGIRC-ARRCO'!$C$6:$C$57),IF($F$1=1.5%,LOOKUP($A70,'AGIRC-ARRCO'!$B$6:$B$57,'AGIRC-ARRCO'!$D$6:$D$57),IF($F$1=1.3%,LOOKUP($A70,'AGIRC-ARRCO'!$B$6:$B$57,'AGIRC-ARRCO'!$E$6:$E$57),LOOKUP($A70,'AGIRC-ARRCO'!$B$6:$B$57,'AGIRC-ARRCO'!$F$6:$F$57))))</f>
        <v>17.443200000000001</v>
      </c>
      <c r="BB70" s="69"/>
      <c r="BC70" s="69"/>
      <c r="BD70" s="69">
        <f>IF($F$1=1.8%,LOOKUP($A70,'AGIRC-ARRCO'!$B$6:$B$57,'AGIRC-ARRCO'!$G$6:$G$57),IF($F$1=1.5%,LOOKUP($A70,'AGIRC-ARRCO'!$B$6:$B$57,'AGIRC-ARRCO'!$H$6:$H$57),IF($F$1=1.3%,LOOKUP($A70,'AGIRC-ARRCO'!$B$6:$B$57,'AGIRC-ARRCO'!$I$6:$I$57),LOOKUP($A70,'AGIRC-ARRCO'!$B$6:$B$57,'AGIRC-ARRCO'!$J$6:$J$57))))</f>
        <v>1.2943</v>
      </c>
      <c r="BE70" s="69"/>
      <c r="BF70" s="69"/>
      <c r="BG70" s="71">
        <f t="shared" si="30"/>
        <v>1.2858833333333335</v>
      </c>
      <c r="BH70" s="71"/>
      <c r="BI70" s="71"/>
      <c r="BJ70" s="18">
        <f t="shared" si="31"/>
        <v>2131.7163756488903</v>
      </c>
      <c r="BL70" s="15">
        <v>2022</v>
      </c>
      <c r="BM70" s="22">
        <f>BM69*IF(Simulation!$D$35="SMPT",1+$E70,IF(Simulation!$D$35="PRIX",1+$B70))</f>
        <v>11625.755904</v>
      </c>
      <c r="BN70" s="23">
        <f>BN69*IF(Simulation!$D$35="SMPT",1+$E70,IF(Simulation!$D$35="PRIX",1+$B70))</f>
        <v>15198.678431999999</v>
      </c>
      <c r="BO70" s="23">
        <f>BO69*IF(Simulation!$D$35="SMPT",1+$E70,IF(Simulation!$D$35="PRIX",1+$B70))</f>
        <v>23587.810847999997</v>
      </c>
      <c r="BP70" s="5"/>
      <c r="BQ70" s="146">
        <v>0</v>
      </c>
      <c r="BR70" s="146">
        <v>4.2999999999999997E-2</v>
      </c>
      <c r="BS70" s="146">
        <v>7.3999999999999996E-2</v>
      </c>
      <c r="BT70" s="146">
        <v>9.0999999999999998E-2</v>
      </c>
      <c r="BV70" s="15">
        <v>2022</v>
      </c>
      <c r="BW70" s="22">
        <f>BW69*IF(Simulation!$D$35="SMPT",1+$E70,IF(Simulation!$D$35="PRIX",1+$B70))</f>
        <v>17834.04</v>
      </c>
      <c r="BX70" s="23">
        <f>BX69*IF(Simulation!$D$35="SMPT",1+$E70,IF(Simulation!$D$35="PRIX",1+$B70))</f>
        <v>23314.695263999998</v>
      </c>
      <c r="BY70" s="23">
        <f>BY69*IF(Simulation!$D$35="SMPT",1+$E70,IF(Simulation!$D$35="PRIX",1+$B70))</f>
        <v>36181.700351999993</v>
      </c>
      <c r="BZ70" s="5"/>
      <c r="CA70" s="146">
        <v>0</v>
      </c>
      <c r="CB70" s="146">
        <f t="shared" ref="CB70:CB133" si="41">CB69</f>
        <v>4.2999999999999997E-2</v>
      </c>
      <c r="CC70" s="146">
        <f t="shared" ref="CC70:CC133" si="42">CC69</f>
        <v>7.3999999999999996E-2</v>
      </c>
      <c r="CD70" s="146">
        <f t="shared" ref="CD70:CE133" si="43">CD69</f>
        <v>9.0999999999999998E-2</v>
      </c>
      <c r="CE70" s="146">
        <f t="shared" si="43"/>
        <v>3.2000000000000001E-2</v>
      </c>
      <c r="CG70" s="15">
        <v>2022</v>
      </c>
      <c r="CH70" s="696">
        <v>9.1999999999999998E-2</v>
      </c>
      <c r="CI70" s="311">
        <f t="shared" si="25"/>
        <v>6.8000000000000005E-2</v>
      </c>
      <c r="CJ70" s="311">
        <f t="shared" si="26"/>
        <v>5.0000000000000001E-3</v>
      </c>
      <c r="CK70" s="311">
        <f t="shared" si="26"/>
        <v>0.98250000000000004</v>
      </c>
      <c r="CL70" s="313">
        <f t="shared" si="27"/>
        <v>0</v>
      </c>
      <c r="CM70" s="313">
        <v>0</v>
      </c>
      <c r="CN70" s="313">
        <v>0</v>
      </c>
      <c r="CO70" s="318">
        <f t="shared" si="28"/>
        <v>2.4000000000000001E-4</v>
      </c>
    </row>
    <row r="71" spans="1:96" x14ac:dyDescent="0.25">
      <c r="A71" s="15">
        <v>2023</v>
      </c>
      <c r="B71" s="54">
        <f>IF($F$1=1.8%,LOOKUP($A71,Prix!B$6:B$127,Prix!$G$6:$G$127),IF($F$1=1.5%,LOOKUP($A71,Prix!B$6:B$127,Prix!$H$6:$H$127),IF($F$1=1.3%,LOOKUP($A71,Prix!B$6:B$127,Prix!$I$6:$I$127),LOOKUP($A71,Prix!B$6:B$127,Prix!$J$6:$J$127))))</f>
        <v>1.2E-2</v>
      </c>
      <c r="C71" s="7">
        <f t="shared" si="33"/>
        <v>1.0200960000000001</v>
      </c>
      <c r="D71" s="5">
        <f>IF($F$1=1.8%,LOOKUP($A71,SMPT!$B$6:$B$127,SMPT!$C$6:$C$127),IF($F$1=1.5%,LOOKUP($A71,SMPT!$B$6:$B$127,SMPT!$D$6:$D$127),IF($F$1=1.3%,LOOKUP($A71,SMPT!$B$6:$B$127,SMPT!$E$6:$E$127),LOOKUP($A71,SMPT!$B$6:$B$127,SMPT!$F$6:$F$127))))</f>
        <v>40631.229368905966</v>
      </c>
      <c r="E71" s="17">
        <f t="shared" si="34"/>
        <v>3.6288000000000098E-2</v>
      </c>
      <c r="F71" s="60">
        <f>IF($F$1=1.8%,LOOKUP($A71,SMIC!$B$6:$B$125,SMIC!$C$6:$C$125),IF($F$1=1.5%,LOOKUP($A71,SMIC!$B$6:$B$125,SMIC!$D$6:$D$125),IF($F$1=1.3%,LOOKUP($A71,SMIC!$B$6:$B$125,SMIC!$E$6:$E$125),LOOKUP($A71,SMIC!$B$6:$B$125,SMIC!$F$6:$F$125))))</f>
        <v>19146.663205758086</v>
      </c>
      <c r="G71" s="153">
        <f t="shared" si="29"/>
        <v>1.1062424876344932</v>
      </c>
      <c r="H71" s="357">
        <f t="shared" si="23"/>
        <v>3.9941690962099097E-2</v>
      </c>
      <c r="I71" s="15">
        <v>2023</v>
      </c>
      <c r="J71" s="13">
        <f t="shared" si="35"/>
        <v>21877.92308</v>
      </c>
      <c r="K71" s="65">
        <f t="shared" ref="K71:K134" si="44">K70</f>
        <v>0.17749999999999999</v>
      </c>
      <c r="L71" s="65">
        <f t="shared" si="36"/>
        <v>0.10450000000000001</v>
      </c>
      <c r="M71" s="65">
        <f t="shared" si="37"/>
        <v>7.2999999999999982E-2</v>
      </c>
      <c r="N71" s="65">
        <f t="shared" si="16"/>
        <v>2.3000000000000003E-2</v>
      </c>
      <c r="O71" s="65">
        <f>IF(Simulation!$D$43="Oui",$Q71,0)</f>
        <v>1.9000000000000003E-2</v>
      </c>
      <c r="P71" s="65">
        <f>IF(Simulation!$D$43="Oui",$R71,0)</f>
        <v>4.0000000000000001E-3</v>
      </c>
      <c r="Q71" s="678">
        <f t="shared" si="38"/>
        <v>1.9000000000000003E-2</v>
      </c>
      <c r="R71" s="678">
        <f t="shared" si="38"/>
        <v>4.0000000000000001E-3</v>
      </c>
      <c r="S71" s="56">
        <f>IF($F$1=1.8%,LOOKUP($A71,Sal_valid!$B$6:$B$127,Sal_valid!$C$6:$C$127),IF($F$1=1.5%,LOOKUP($A71,Sal_valid!$B$6:$B$127,Sal_valid!$D$6:$D$127),IF($F$1=1.3%,LOOKUP($A71,Sal_valid!$B$6:$B$127,Sal_valid!$E$6:$E$127),LOOKUP($A71,Sal_valid!$B$6:$B$127,Sal_valid!$F$6:$F$127))))</f>
        <v>1577.9657255250004</v>
      </c>
      <c r="T71" s="76">
        <f>IF(Simulation!$D$33="Prix",Revalo_RB!$D83,Barèmes!$E71)</f>
        <v>1.1304687541422952E-2</v>
      </c>
      <c r="U71" s="76">
        <f>IF(Simulation!$D$34="Prix",Revalo_RB!$H83,Barèmes!$E71)</f>
        <v>8.7527307519159603E-3</v>
      </c>
      <c r="V71" s="56">
        <f>IF($F$1=1.8%,LOOKUP($A71,PSS!$B$6:$B$127,PSS!$C$6:$C$127),IF($F$1=1.5%,LOOKUP($A71,PSS!$B$6:$B$127,PSS!$D$6:$D$127),IF($F$1=1.3%,LOOKUP($A71,PSS!$B$6:$B$127,PSS!$E$6:$E$127),LOOKUP($A71,PSS!$B$6:$B$127,PSS!$F$6:$F$127))))</f>
        <v>42804</v>
      </c>
      <c r="W71" s="56">
        <f>IF($F$1=1.8%,LOOKUP($A71,Smic_AVPF!$B$6:$B$104,Smic_AVPF!$C$6:$C$104),IF($F$1=1.5%,LOOKUP($A71,Smic_AVPF!$B$6:$B$104,Smic_AVPF!$D$6:$D$104),IF($F$1=1.3%,LOOKUP($A71,Smic_AVPF!$B$6:$B$104,Smic_AVPF!$E$6:$E$104),LOOKUP($A71,Smic_AVPF!$B$6:$B$104,Smic_AVPF!$F$6:$F$104))))</f>
        <v>21081.870836379599</v>
      </c>
      <c r="X71" s="56">
        <f>IF(Simulation!$D$32="SMPT",(1+$E71)*X70,IF(Simulation!$D$32="PRIX",Minima!$O20))</f>
        <v>7902.151607808667</v>
      </c>
      <c r="Y71" s="56">
        <f>IF(Simulation!$D$32="SMPT",(1+$E71)*Y70,IF(Simulation!$D$32="PRIX",Minima!$P20))</f>
        <v>8634.8891186625824</v>
      </c>
      <c r="Z71" s="56">
        <f t="shared" ref="Z71:Z134" si="45">Z70*Y71/Y70</f>
        <v>14731.506781994438</v>
      </c>
      <c r="AA71" s="58"/>
      <c r="AB71" s="15">
        <v>2023</v>
      </c>
      <c r="AC71" s="64">
        <f t="shared" ref="AC71:AD134" si="46">AC70</f>
        <v>6.2E-2</v>
      </c>
      <c r="AD71" s="65">
        <f t="shared" si="39"/>
        <v>3.7200000000000004E-2</v>
      </c>
      <c r="AE71" s="65">
        <f t="shared" ref="AE71:AE129" si="47">AC71-AD71</f>
        <v>2.4799999999999996E-2</v>
      </c>
      <c r="AF71" s="65">
        <f t="shared" ref="AF71:AG134" si="48">AF70</f>
        <v>0.17</v>
      </c>
      <c r="AG71" s="65">
        <f t="shared" si="40"/>
        <v>0.10200000000000001</v>
      </c>
      <c r="AH71" s="65">
        <f t="shared" ref="AH71:AH129" si="49">AF71-AG71</f>
        <v>6.8000000000000005E-2</v>
      </c>
      <c r="AI71" s="66">
        <f t="shared" ref="AI71:AI134" si="50">AI70</f>
        <v>1.27</v>
      </c>
      <c r="AJ71" s="66"/>
      <c r="AK71" s="66"/>
      <c r="AL71" s="65">
        <f t="shared" si="20"/>
        <v>3.4999999999999996E-3</v>
      </c>
      <c r="AM71" s="65">
        <f>IF(Simulation!$D$42="Oui",Barèmes!$AO71,0)</f>
        <v>2.0999999999999999E-3</v>
      </c>
      <c r="AN71" s="65">
        <f>IF(Simulation!$D$42="Oui",Barèmes!$AP71,0)</f>
        <v>1.3999999999999998E-3</v>
      </c>
      <c r="AO71" s="678">
        <f t="shared" ref="AO71:AO134" si="51">AO70</f>
        <v>2.0999999999999999E-3</v>
      </c>
      <c r="AP71" s="678">
        <f t="shared" ref="AP71:AP134" si="52">AP70</f>
        <v>1.3999999999999998E-3</v>
      </c>
      <c r="AQ71" s="65">
        <f t="shared" si="15"/>
        <v>2.1499999999999998E-2</v>
      </c>
      <c r="AR71" s="65">
        <f>IF(Simulation!$D$42="Oui",Barèmes!$AT71,0)</f>
        <v>1.29E-2</v>
      </c>
      <c r="AS71" s="65">
        <f>IF(Simulation!$D$42="Oui",Barèmes!$AU71,0)</f>
        <v>8.6E-3</v>
      </c>
      <c r="AT71" s="678">
        <f t="shared" ref="AT71:AT134" si="53">AT70</f>
        <v>1.29E-2</v>
      </c>
      <c r="AU71" s="678">
        <f t="shared" ref="AU71:AU134" si="54">AU70</f>
        <v>8.6E-3</v>
      </c>
      <c r="AV71" s="65">
        <f t="shared" si="21"/>
        <v>2.7000000000000003E-2</v>
      </c>
      <c r="AW71" s="65">
        <f>IF(Simulation!$D$42="Oui",Barèmes!$AY71,0)</f>
        <v>1.6200000000000003E-2</v>
      </c>
      <c r="AX71" s="65">
        <f>IF(Simulation!$D$42="Oui",Barèmes!$AZ71,0)</f>
        <v>1.0800000000000001E-2</v>
      </c>
      <c r="AY71" s="678">
        <f t="shared" ref="AY71:AY134" si="55">AY70</f>
        <v>1.6200000000000003E-2</v>
      </c>
      <c r="AZ71" s="678">
        <f t="shared" ref="AZ71:AZ134" si="56">AZ70</f>
        <v>1.0800000000000001E-2</v>
      </c>
      <c r="BA71" s="69">
        <f>IF($F$1=1.8%,LOOKUP($A71,'AGIRC-ARRCO'!$B$6:$B$57,'AGIRC-ARRCO'!$C$6:$C$57),IF($F$1=1.5%,LOOKUP($A71,'AGIRC-ARRCO'!$B$6:$B$57,'AGIRC-ARRCO'!$D$6:$D$57),IF($F$1=1.3%,LOOKUP($A71,'AGIRC-ARRCO'!$B$6:$B$57,'AGIRC-ARRCO'!$E$6:$E$57),LOOKUP($A71,'AGIRC-ARRCO'!$B$6:$B$57,'AGIRC-ARRCO'!$F$6:$F$57))))</f>
        <v>18.102599999999999</v>
      </c>
      <c r="BB71" s="69"/>
      <c r="BC71" s="69"/>
      <c r="BD71" s="69">
        <f>IF($F$1=1.8%,LOOKUP($A71,'AGIRC-ARRCO'!$B$6:$B$57,'AGIRC-ARRCO'!$G$6:$G$57),IF($F$1=1.5%,LOOKUP($A71,'AGIRC-ARRCO'!$B$6:$B$57,'AGIRC-ARRCO'!$H$6:$H$57),IF($F$1=1.3%,LOOKUP($A71,'AGIRC-ARRCO'!$B$6:$B$57,'AGIRC-ARRCO'!$I$6:$I$57),LOOKUP($A71,'AGIRC-ARRCO'!$B$6:$B$57,'AGIRC-ARRCO'!$J$6:$J$57))))</f>
        <v>1.3245</v>
      </c>
      <c r="BE71" s="69"/>
      <c r="BF71" s="69"/>
      <c r="BG71" s="71">
        <f t="shared" si="30"/>
        <v>1.2993333333333335</v>
      </c>
      <c r="BH71" s="71"/>
      <c r="BI71" s="71"/>
      <c r="BJ71" s="18">
        <f t="shared" si="31"/>
        <v>2181.4558754129303</v>
      </c>
      <c r="BL71" s="15">
        <v>2023</v>
      </c>
      <c r="BM71" s="22">
        <f>BM70*IF(Simulation!$D$35="SMPT",1+$E71,IF(Simulation!$D$35="PRIX",1+$B71))</f>
        <v>11765.264974848</v>
      </c>
      <c r="BN71" s="23">
        <f>BN70*IF(Simulation!$D$35="SMPT",1+$E71,IF(Simulation!$D$35="PRIX",1+$B71))</f>
        <v>15381.062573183999</v>
      </c>
      <c r="BO71" s="23">
        <f>BO70*IF(Simulation!$D$35="SMPT",1+$E71,IF(Simulation!$D$35="PRIX",1+$B71))</f>
        <v>23870.864578175999</v>
      </c>
      <c r="BP71" s="5"/>
      <c r="BQ71" s="146">
        <v>0</v>
      </c>
      <c r="BR71" s="146">
        <v>4.2999999999999997E-2</v>
      </c>
      <c r="BS71" s="146">
        <v>7.3999999999999996E-2</v>
      </c>
      <c r="BT71" s="146">
        <v>9.0999999999999998E-2</v>
      </c>
      <c r="BV71" s="15">
        <v>2023</v>
      </c>
      <c r="BW71" s="22">
        <f>BW70*IF(Simulation!$D$35="SMPT",1+$E71,IF(Simulation!$D$35="PRIX",1+$B71))</f>
        <v>18048.048480000001</v>
      </c>
      <c r="BX71" s="23">
        <f>BX70*IF(Simulation!$D$35="SMPT",1+$E71,IF(Simulation!$D$35="PRIX",1+$B71))</f>
        <v>23594.471607167998</v>
      </c>
      <c r="BY71" s="23">
        <f>BY70*IF(Simulation!$D$35="SMPT",1+$E71,IF(Simulation!$D$35="PRIX",1+$B71))</f>
        <v>36615.880756223996</v>
      </c>
      <c r="BZ71" s="5"/>
      <c r="CA71" s="146">
        <v>0</v>
      </c>
      <c r="CB71" s="146">
        <f t="shared" si="41"/>
        <v>4.2999999999999997E-2</v>
      </c>
      <c r="CC71" s="146">
        <f t="shared" si="42"/>
        <v>7.3999999999999996E-2</v>
      </c>
      <c r="CD71" s="146">
        <f t="shared" si="43"/>
        <v>9.0999999999999998E-2</v>
      </c>
      <c r="CE71" s="146">
        <f t="shared" si="43"/>
        <v>3.2000000000000001E-2</v>
      </c>
      <c r="CG71" s="15">
        <v>2023</v>
      </c>
      <c r="CH71" s="696">
        <v>9.1999999999999998E-2</v>
      </c>
      <c r="CI71" s="311">
        <f t="shared" si="25"/>
        <v>6.8000000000000005E-2</v>
      </c>
      <c r="CJ71" s="311">
        <f t="shared" si="26"/>
        <v>5.0000000000000001E-3</v>
      </c>
      <c r="CK71" s="311">
        <f t="shared" si="26"/>
        <v>0.98250000000000004</v>
      </c>
      <c r="CL71" s="313">
        <f t="shared" si="27"/>
        <v>0</v>
      </c>
      <c r="CM71" s="313">
        <v>0</v>
      </c>
      <c r="CN71" s="313">
        <v>0</v>
      </c>
      <c r="CO71" s="318">
        <f t="shared" si="28"/>
        <v>2.4000000000000001E-4</v>
      </c>
    </row>
    <row r="72" spans="1:96" x14ac:dyDescent="0.25">
      <c r="A72" s="15">
        <v>2024</v>
      </c>
      <c r="B72" s="54">
        <f>IF($F$1=1.8%,LOOKUP($A72,Prix!B$6:B$127,Prix!$G$6:$G$127),IF($F$1=1.5%,LOOKUP($A72,Prix!B$6:B$127,Prix!$H$6:$H$127),IF($F$1=1.3%,LOOKUP($A72,Prix!B$6:B$127,Prix!$I$6:$I$127),LOOKUP($A72,Prix!B$6:B$127,Prix!$J$6:$J$127))))</f>
        <v>1.4999999999999999E-2</v>
      </c>
      <c r="C72" s="7">
        <f t="shared" si="33"/>
        <v>1.0353974400000001</v>
      </c>
      <c r="D72" s="5">
        <f>IF($F$1=1.8%,LOOKUP($A72,SMPT!$B$6:$B$127,SMPT!$C$6:$C$127),IF($F$1=1.5%,LOOKUP($A72,SMPT!$B$6:$B$127,SMPT!$D$6:$D$127),IF($F$1=1.3%,LOOKUP($A72,SMPT!$B$6:$B$127,SMPT!$E$6:$E$127),LOOKUP($A72,SMPT!$B$6:$B$127,SMPT!$F$6:$F$127))))</f>
        <v>41735.586183152831</v>
      </c>
      <c r="E72" s="17">
        <f t="shared" si="34"/>
        <v>2.7179999999999982E-2</v>
      </c>
      <c r="F72" s="60">
        <f>IF($F$1=1.8%,LOOKUP($A72,SMIC!$B$6:$B$125,SMIC!$C$6:$C$125),IF($F$1=1.5%,LOOKUP($A72,SMIC!$B$6:$B$125,SMIC!$D$6:$D$125),IF($F$1=1.3%,LOOKUP($A72,SMIC!$B$6:$B$125,SMIC!$E$6:$E$125),LOOKUP($A72,SMIC!$B$6:$B$125,SMIC!$F$6:$F$125))))</f>
        <v>19433.863153844453</v>
      </c>
      <c r="G72" s="153">
        <f t="shared" si="29"/>
        <v>1.1363101584483988</v>
      </c>
      <c r="H72" s="357">
        <f t="shared" si="23"/>
        <v>3.5043453882814601E-2</v>
      </c>
      <c r="I72" s="15">
        <v>2024</v>
      </c>
      <c r="J72" s="13">
        <f t="shared" si="35"/>
        <v>22206.091926199995</v>
      </c>
      <c r="K72" s="65">
        <f t="shared" si="44"/>
        <v>0.17749999999999999</v>
      </c>
      <c r="L72" s="65">
        <f t="shared" si="36"/>
        <v>0.10450000000000001</v>
      </c>
      <c r="M72" s="65">
        <f t="shared" si="37"/>
        <v>7.2999999999999982E-2</v>
      </c>
      <c r="N72" s="65">
        <f t="shared" si="16"/>
        <v>2.3000000000000003E-2</v>
      </c>
      <c r="O72" s="65">
        <f>IF(Simulation!$D$43="Oui",$Q72,0)</f>
        <v>1.9000000000000003E-2</v>
      </c>
      <c r="P72" s="65">
        <f>IF(Simulation!$D$43="Oui",$R72,0)</f>
        <v>4.0000000000000001E-3</v>
      </c>
      <c r="Q72" s="678">
        <f t="shared" si="38"/>
        <v>1.9000000000000003E-2</v>
      </c>
      <c r="R72" s="678">
        <f t="shared" si="38"/>
        <v>4.0000000000000001E-3</v>
      </c>
      <c r="S72" s="56">
        <f>IF($F$1=1.8%,LOOKUP($A72,Sal_valid!$B$6:$B$127,Sal_valid!$C$6:$C$127),IF($F$1=1.5%,LOOKUP($A72,Sal_valid!$B$6:$B$127,Sal_valid!$D$6:$D$127),IF($F$1=1.3%,LOOKUP($A72,Sal_valid!$B$6:$B$127,Sal_valid!$E$6:$E$127),LOOKUP($A72,Sal_valid!$B$6:$B$127,Sal_valid!$F$6:$F$127))))</f>
        <v>1601.6352114078752</v>
      </c>
      <c r="T72" s="76">
        <f>IF(Simulation!$D$33="Prix",Revalo_RB!$D84,Barèmes!$E72)</f>
        <v>1.4499999999999999E-2</v>
      </c>
      <c r="U72" s="76">
        <f>IF(Simulation!$D$34="Prix",Revalo_RB!$H84,Barèmes!$E72)</f>
        <v>1.1304687541422952E-2</v>
      </c>
      <c r="V72" s="56">
        <f>IF($F$1=1.8%,LOOKUP($A72,PSS!$B$6:$B$127,PSS!$C$6:$C$127),IF($F$1=1.5%,LOOKUP($A72,PSS!$B$6:$B$127,PSS!$D$6:$D$127),IF($F$1=1.3%,LOOKUP($A72,PSS!$B$6:$B$127,PSS!$E$6:$E$127),LOOKUP($A72,PSS!$B$6:$B$127,PSS!$F$6:$F$127))))</f>
        <v>44304</v>
      </c>
      <c r="W72" s="56">
        <f>IF($F$1=1.8%,LOOKUP($A72,Smic_AVPF!$B$6:$B$104,Smic_AVPF!$C$6:$C$104),IF($F$1=1.5%,LOOKUP($A72,Smic_AVPF!$B$6:$B$104,Smic_AVPF!$D$6:$D$104),IF($F$1=1.3%,LOOKUP($A72,Smic_AVPF!$B$6:$B$104,Smic_AVPF!$E$6:$E$104),LOOKUP($A72,Smic_AVPF!$B$6:$B$104,Smic_AVPF!$F$6:$F$104))))</f>
        <v>21398.098898925291</v>
      </c>
      <c r="X72" s="56">
        <f>IF(Simulation!$D$32="SMPT",(1+$E72)*X71,IF(Simulation!$D$32="PRIX",Minima!$O21))</f>
        <v>8016.7328061218923</v>
      </c>
      <c r="Y72" s="56">
        <f>IF(Simulation!$D$32="SMPT",(1+$E72)*Y71,IF(Simulation!$D$32="PRIX",Minima!$P21))</f>
        <v>8760.0950108831894</v>
      </c>
      <c r="Z72" s="56">
        <f t="shared" si="45"/>
        <v>14945.113630333357</v>
      </c>
      <c r="AA72" s="58"/>
      <c r="AB72" s="15">
        <v>2024</v>
      </c>
      <c r="AC72" s="64">
        <f t="shared" si="46"/>
        <v>6.2E-2</v>
      </c>
      <c r="AD72" s="65">
        <f t="shared" si="39"/>
        <v>3.7200000000000004E-2</v>
      </c>
      <c r="AE72" s="65">
        <f t="shared" si="47"/>
        <v>2.4799999999999996E-2</v>
      </c>
      <c r="AF72" s="65">
        <f t="shared" si="48"/>
        <v>0.17</v>
      </c>
      <c r="AG72" s="65">
        <f t="shared" si="40"/>
        <v>0.10200000000000001</v>
      </c>
      <c r="AH72" s="65">
        <f t="shared" si="49"/>
        <v>6.8000000000000005E-2</v>
      </c>
      <c r="AI72" s="66">
        <f t="shared" si="50"/>
        <v>1.27</v>
      </c>
      <c r="AJ72" s="66"/>
      <c r="AK72" s="66"/>
      <c r="AL72" s="65">
        <f t="shared" si="20"/>
        <v>3.4999999999999996E-3</v>
      </c>
      <c r="AM72" s="65">
        <f>IF(Simulation!$D$42="Oui",Barèmes!$AO72,0)</f>
        <v>2.0999999999999999E-3</v>
      </c>
      <c r="AN72" s="65">
        <f>IF(Simulation!$D$42="Oui",Barèmes!$AP72,0)</f>
        <v>1.3999999999999998E-3</v>
      </c>
      <c r="AO72" s="678">
        <f t="shared" si="51"/>
        <v>2.0999999999999999E-3</v>
      </c>
      <c r="AP72" s="678">
        <f t="shared" si="52"/>
        <v>1.3999999999999998E-3</v>
      </c>
      <c r="AQ72" s="65">
        <f t="shared" si="15"/>
        <v>2.1499999999999998E-2</v>
      </c>
      <c r="AR72" s="65">
        <f>IF(Simulation!$D$42="Oui",Barèmes!$AT72,0)</f>
        <v>1.29E-2</v>
      </c>
      <c r="AS72" s="65">
        <f>IF(Simulation!$D$42="Oui",Barèmes!$AU72,0)</f>
        <v>8.6E-3</v>
      </c>
      <c r="AT72" s="678">
        <f t="shared" si="53"/>
        <v>1.29E-2</v>
      </c>
      <c r="AU72" s="678">
        <f t="shared" si="54"/>
        <v>8.6E-3</v>
      </c>
      <c r="AV72" s="65">
        <f t="shared" si="21"/>
        <v>2.7000000000000003E-2</v>
      </c>
      <c r="AW72" s="65">
        <f>IF(Simulation!$D$42="Oui",Barèmes!$AY72,0)</f>
        <v>1.6200000000000003E-2</v>
      </c>
      <c r="AX72" s="65">
        <f>IF(Simulation!$D$42="Oui",Barèmes!$AZ72,0)</f>
        <v>1.0800000000000001E-2</v>
      </c>
      <c r="AY72" s="678">
        <f t="shared" si="55"/>
        <v>1.6200000000000003E-2</v>
      </c>
      <c r="AZ72" s="678">
        <f t="shared" si="56"/>
        <v>1.0800000000000001E-2</v>
      </c>
      <c r="BA72" s="69">
        <f>IF($F$1=1.8%,LOOKUP($A72,'AGIRC-ARRCO'!$B$6:$B$57,'AGIRC-ARRCO'!$C$6:$C$57),IF($F$1=1.5%,LOOKUP($A72,'AGIRC-ARRCO'!$B$6:$B$57,'AGIRC-ARRCO'!$D$6:$D$57),IF($F$1=1.3%,LOOKUP($A72,'AGIRC-ARRCO'!$B$6:$B$57,'AGIRC-ARRCO'!$E$6:$E$57),LOOKUP($A72,'AGIRC-ARRCO'!$B$6:$B$57,'AGIRC-ARRCO'!$F$6:$F$57))))</f>
        <v>18.734400000000001</v>
      </c>
      <c r="BB72" s="69"/>
      <c r="BC72" s="69"/>
      <c r="BD72" s="69">
        <f>IF($F$1=1.8%,LOOKUP($A72,'AGIRC-ARRCO'!$B$6:$B$57,'AGIRC-ARRCO'!$G$6:$G$57),IF($F$1=1.5%,LOOKUP($A72,'AGIRC-ARRCO'!$B$6:$B$57,'AGIRC-ARRCO'!$H$6:$H$57),IF($F$1=1.3%,LOOKUP($A72,'AGIRC-ARRCO'!$B$6:$B$57,'AGIRC-ARRCO'!$I$6:$I$57),LOOKUP($A72,'AGIRC-ARRCO'!$B$6:$B$57,'AGIRC-ARRCO'!$J$6:$J$57))))</f>
        <v>1.3513999999999999</v>
      </c>
      <c r="BE72" s="69"/>
      <c r="BF72" s="69"/>
      <c r="BG72" s="71">
        <f t="shared" si="30"/>
        <v>1.3289833333333334</v>
      </c>
      <c r="BH72" s="71"/>
      <c r="BI72" s="71"/>
      <c r="BJ72" s="18">
        <f t="shared" si="31"/>
        <v>2225.7602642756015</v>
      </c>
      <c r="BL72" s="15">
        <v>2024</v>
      </c>
      <c r="BM72" s="22">
        <f>BM71*IF(Simulation!$D$35="SMPT",1+$E72,IF(Simulation!$D$35="PRIX",1+$B72))</f>
        <v>11941.743949470718</v>
      </c>
      <c r="BN72" s="23">
        <f>BN71*IF(Simulation!$D$35="SMPT",1+$E72,IF(Simulation!$D$35="PRIX",1+$B72))</f>
        <v>15611.778511781758</v>
      </c>
      <c r="BO72" s="23">
        <f>BO71*IF(Simulation!$D$35="SMPT",1+$E72,IF(Simulation!$D$35="PRIX",1+$B72))</f>
        <v>24228.927546848638</v>
      </c>
      <c r="BP72" s="5"/>
      <c r="BQ72" s="146">
        <v>0</v>
      </c>
      <c r="BR72" s="146">
        <v>4.2999999999999997E-2</v>
      </c>
      <c r="BS72" s="146">
        <v>7.3999999999999996E-2</v>
      </c>
      <c r="BT72" s="146">
        <v>9.0999999999999998E-2</v>
      </c>
      <c r="BV72" s="15">
        <v>2024</v>
      </c>
      <c r="BW72" s="22">
        <f>BW71*IF(Simulation!$D$35="SMPT",1+$E72,IF(Simulation!$D$35="PRIX",1+$B72))</f>
        <v>18318.769207199999</v>
      </c>
      <c r="BX72" s="23">
        <f>BX71*IF(Simulation!$D$35="SMPT",1+$E72,IF(Simulation!$D$35="PRIX",1+$B72))</f>
        <v>23948.388681275515</v>
      </c>
      <c r="BY72" s="23">
        <f>BY71*IF(Simulation!$D$35="SMPT",1+$E72,IF(Simulation!$D$35="PRIX",1+$B72))</f>
        <v>37165.118967567352</v>
      </c>
      <c r="BZ72" s="5"/>
      <c r="CA72" s="146">
        <v>0</v>
      </c>
      <c r="CB72" s="146">
        <f t="shared" si="41"/>
        <v>4.2999999999999997E-2</v>
      </c>
      <c r="CC72" s="146">
        <f t="shared" si="42"/>
        <v>7.3999999999999996E-2</v>
      </c>
      <c r="CD72" s="146">
        <f t="shared" si="43"/>
        <v>9.0999999999999998E-2</v>
      </c>
      <c r="CE72" s="146">
        <f t="shared" si="43"/>
        <v>3.2000000000000001E-2</v>
      </c>
      <c r="CG72" s="15">
        <v>2024</v>
      </c>
      <c r="CH72" s="317">
        <f t="shared" ref="CH72:CH131" si="57">CH71</f>
        <v>9.1999999999999998E-2</v>
      </c>
      <c r="CI72" s="311">
        <f t="shared" si="25"/>
        <v>6.8000000000000005E-2</v>
      </c>
      <c r="CJ72" s="311">
        <f t="shared" si="26"/>
        <v>5.0000000000000001E-3</v>
      </c>
      <c r="CK72" s="311">
        <f t="shared" si="26"/>
        <v>0.98250000000000004</v>
      </c>
      <c r="CL72" s="313">
        <f t="shared" si="27"/>
        <v>0</v>
      </c>
      <c r="CM72" s="313">
        <v>0</v>
      </c>
      <c r="CN72" s="313">
        <v>0</v>
      </c>
      <c r="CO72" s="318">
        <f t="shared" si="28"/>
        <v>2.4000000000000001E-4</v>
      </c>
    </row>
    <row r="73" spans="1:96" x14ac:dyDescent="0.25">
      <c r="A73" s="15">
        <v>2025</v>
      </c>
      <c r="B73" s="54">
        <f>IF($F$1=1.8%,LOOKUP($A73,Prix!B$6:B$127,Prix!$G$6:$G$127),IF($F$1=1.5%,LOOKUP($A73,Prix!B$6:B$127,Prix!$H$6:$H$127),IF($F$1=1.3%,LOOKUP($A73,Prix!B$6:B$127,Prix!$I$6:$I$127),LOOKUP($A73,Prix!B$6:B$127,Prix!$J$6:$J$127))))</f>
        <v>1.7500000000000002E-2</v>
      </c>
      <c r="C73" s="7">
        <f t="shared" si="33"/>
        <v>1.0535168952000002</v>
      </c>
      <c r="D73" s="5">
        <f>IF($F$1=1.8%,LOOKUP($A73,SMPT!$B$6:$B$127,SMPT!$C$6:$C$127),IF($F$1=1.5%,LOOKUP($A73,SMPT!$B$6:$B$127,SMPT!$D$6:$D$127),IF($F$1=1.3%,LOOKUP($A73,SMPT!$B$6:$B$127,SMPT!$E$6:$E$127),LOOKUP($A73,SMPT!$B$6:$B$127,SMPT!$F$6:$F$127))))</f>
        <v>42933.084489712943</v>
      </c>
      <c r="E73" s="17">
        <f t="shared" si="34"/>
        <v>2.869250000000001E-2</v>
      </c>
      <c r="F73" s="60">
        <f>IF($F$1=1.8%,LOOKUP($A73,SMIC!$B$6:$B$125,SMIC!$C$6:$C$125),IF($F$1=1.5%,LOOKUP($A73,SMIC!$B$6:$B$125,SMIC!$D$6:$D$125),IF($F$1=1.3%,LOOKUP($A73,SMIC!$B$6:$B$125,SMIC!$E$6:$E$125),LOOKUP($A73,SMIC!$B$6:$B$125,SMIC!$F$6:$F$125))))</f>
        <v>19803.106553767495</v>
      </c>
      <c r="G73" s="153">
        <f t="shared" si="29"/>
        <v>1.1689137376696794</v>
      </c>
      <c r="H73" s="357">
        <f t="shared" si="23"/>
        <v>3.1960996749729187E-2</v>
      </c>
      <c r="I73" s="15">
        <v>2025</v>
      </c>
      <c r="J73" s="13">
        <f t="shared" si="35"/>
        <v>22628.007672797794</v>
      </c>
      <c r="K73" s="65">
        <f t="shared" si="44"/>
        <v>0.17749999999999999</v>
      </c>
      <c r="L73" s="65">
        <f t="shared" si="36"/>
        <v>0.10450000000000001</v>
      </c>
      <c r="M73" s="65">
        <f t="shared" si="37"/>
        <v>7.2999999999999982E-2</v>
      </c>
      <c r="N73" s="65">
        <f t="shared" si="16"/>
        <v>2.3000000000000003E-2</v>
      </c>
      <c r="O73" s="65">
        <f>IF(Simulation!$D$43="Oui",$Q73,0)</f>
        <v>1.9000000000000003E-2</v>
      </c>
      <c r="P73" s="65">
        <f>IF(Simulation!$D$43="Oui",$R73,0)</f>
        <v>4.0000000000000001E-3</v>
      </c>
      <c r="Q73" s="678">
        <f t="shared" si="38"/>
        <v>1.9000000000000003E-2</v>
      </c>
      <c r="R73" s="678">
        <f t="shared" si="38"/>
        <v>4.0000000000000001E-3</v>
      </c>
      <c r="S73" s="56">
        <f>IF($F$1=1.8%,LOOKUP($A73,Sal_valid!$B$6:$B$127,Sal_valid!$C$6:$C$127),IF($F$1=1.5%,LOOKUP($A73,Sal_valid!$B$6:$B$127,Sal_valid!$D$6:$D$127),IF($F$1=1.3%,LOOKUP($A73,Sal_valid!$B$6:$B$127,Sal_valid!$E$6:$E$127),LOOKUP($A73,Sal_valid!$B$6:$B$127,Sal_valid!$F$6:$F$127))))</f>
        <v>1632.0662804246244</v>
      </c>
      <c r="T73" s="76">
        <f>IF(Simulation!$D$33="Prix",Revalo_RB!$D85,Barèmes!$E73)</f>
        <v>1.7500000000000002E-2</v>
      </c>
      <c r="U73" s="76">
        <f>IF(Simulation!$D$34="Prix",Revalo_RB!$H85,Barèmes!$E73)</f>
        <v>1.4499999999999999E-2</v>
      </c>
      <c r="V73" s="56">
        <f>IF($F$1=1.8%,LOOKUP($A73,PSS!$B$6:$B$127,PSS!$C$6:$C$127),IF($F$1=1.5%,LOOKUP($A73,PSS!$B$6:$B$127,PSS!$D$6:$D$127),IF($F$1=1.3%,LOOKUP($A73,PSS!$B$6:$B$127,PSS!$E$6:$E$127),LOOKUP($A73,PSS!$B$6:$B$127,PSS!$F$6:$F$127))))</f>
        <v>45720</v>
      </c>
      <c r="W73" s="56">
        <f>IF($F$1=1.8%,LOOKUP($A73,Smic_AVPF!$B$6:$B$104,Smic_AVPF!$C$6:$C$104),IF($F$1=1.5%,LOOKUP($A73,Smic_AVPF!$B$6:$B$104,Smic_AVPF!$D$6:$D$104),IF($F$1=1.3%,LOOKUP($A73,Smic_AVPF!$B$6:$B$104,Smic_AVPF!$E$6:$E$104),LOOKUP($A73,Smic_AVPF!$B$6:$B$104,Smic_AVPF!$F$6:$F$104))))</f>
        <v>21804.662778004869</v>
      </c>
      <c r="X73" s="56">
        <f>IF(Simulation!$D$32="SMPT",(1+$E73)*X72,IF(Simulation!$D$32="PRIX",Minima!$O22))</f>
        <v>8157.0256302290263</v>
      </c>
      <c r="Y73" s="56">
        <f>IF(Simulation!$D$32="SMPT",(1+$E73)*Y72,IF(Simulation!$D$32="PRIX",Minima!$P22))</f>
        <v>8913.3966735736467</v>
      </c>
      <c r="Z73" s="56">
        <f t="shared" si="45"/>
        <v>15206.653118864195</v>
      </c>
      <c r="AA73" s="58"/>
      <c r="AB73" s="15">
        <v>2025</v>
      </c>
      <c r="AC73" s="64">
        <f t="shared" si="46"/>
        <v>6.2E-2</v>
      </c>
      <c r="AD73" s="65">
        <f t="shared" si="39"/>
        <v>3.7200000000000004E-2</v>
      </c>
      <c r="AE73" s="65">
        <f t="shared" si="47"/>
        <v>2.4799999999999996E-2</v>
      </c>
      <c r="AF73" s="65">
        <f t="shared" si="48"/>
        <v>0.17</v>
      </c>
      <c r="AG73" s="65">
        <f t="shared" si="40"/>
        <v>0.10200000000000001</v>
      </c>
      <c r="AH73" s="65">
        <f t="shared" si="49"/>
        <v>6.8000000000000005E-2</v>
      </c>
      <c r="AI73" s="66">
        <f t="shared" si="50"/>
        <v>1.27</v>
      </c>
      <c r="AJ73" s="66"/>
      <c r="AK73" s="66"/>
      <c r="AL73" s="65">
        <f t="shared" si="20"/>
        <v>3.4999999999999996E-3</v>
      </c>
      <c r="AM73" s="65">
        <f>IF(Simulation!$D$42="Oui",Barèmes!$AO73,0)</f>
        <v>2.0999999999999999E-3</v>
      </c>
      <c r="AN73" s="65">
        <f>IF(Simulation!$D$42="Oui",Barèmes!$AP73,0)</f>
        <v>1.3999999999999998E-3</v>
      </c>
      <c r="AO73" s="678">
        <f t="shared" si="51"/>
        <v>2.0999999999999999E-3</v>
      </c>
      <c r="AP73" s="678">
        <f t="shared" si="52"/>
        <v>1.3999999999999998E-3</v>
      </c>
      <c r="AQ73" s="65">
        <f t="shared" si="15"/>
        <v>2.1499999999999998E-2</v>
      </c>
      <c r="AR73" s="65">
        <f>IF(Simulation!$D$42="Oui",Barèmes!$AT73,0)</f>
        <v>1.29E-2</v>
      </c>
      <c r="AS73" s="65">
        <f>IF(Simulation!$D$42="Oui",Barèmes!$AU73,0)</f>
        <v>8.6E-3</v>
      </c>
      <c r="AT73" s="678">
        <f t="shared" si="53"/>
        <v>1.29E-2</v>
      </c>
      <c r="AU73" s="678">
        <f t="shared" si="54"/>
        <v>8.6E-3</v>
      </c>
      <c r="AV73" s="65">
        <f t="shared" si="21"/>
        <v>2.7000000000000003E-2</v>
      </c>
      <c r="AW73" s="65">
        <f>IF(Simulation!$D$42="Oui",Barèmes!$AY73,0)</f>
        <v>1.6200000000000003E-2</v>
      </c>
      <c r="AX73" s="65">
        <f>IF(Simulation!$D$42="Oui",Barèmes!$AZ73,0)</f>
        <v>1.0800000000000001E-2</v>
      </c>
      <c r="AY73" s="678">
        <f t="shared" si="55"/>
        <v>1.6200000000000003E-2</v>
      </c>
      <c r="AZ73" s="678">
        <f t="shared" si="56"/>
        <v>1.0800000000000001E-2</v>
      </c>
      <c r="BA73" s="69">
        <f>IF($F$1=1.8%,LOOKUP($A73,'AGIRC-ARRCO'!$B$6:$B$57,'AGIRC-ARRCO'!$C$6:$C$57),IF($F$1=1.5%,LOOKUP($A73,'AGIRC-ARRCO'!$B$6:$B$57,'AGIRC-ARRCO'!$D$6:$D$57),IF($F$1=1.3%,LOOKUP($A73,'AGIRC-ARRCO'!$B$6:$B$57,'AGIRC-ARRCO'!$E$6:$E$57),LOOKUP($A73,'AGIRC-ARRCO'!$B$6:$B$57,'AGIRC-ARRCO'!$F$6:$F$57))))</f>
        <v>19.332000000000001</v>
      </c>
      <c r="BB73" s="69"/>
      <c r="BC73" s="69"/>
      <c r="BD73" s="69">
        <f>IF($F$1=1.8%,LOOKUP($A73,'AGIRC-ARRCO'!$B$6:$B$57,'AGIRC-ARRCO'!$G$6:$G$57),IF($F$1=1.5%,LOOKUP($A73,'AGIRC-ARRCO'!$B$6:$B$57,'AGIRC-ARRCO'!$H$6:$H$57),IF($F$1=1.3%,LOOKUP($A73,'AGIRC-ARRCO'!$B$6:$B$57,'AGIRC-ARRCO'!$I$6:$I$57),LOOKUP($A73,'AGIRC-ARRCO'!$B$6:$B$57,'AGIRC-ARRCO'!$J$6:$J$57))))</f>
        <v>1.3781000000000001</v>
      </c>
      <c r="BE73" s="69"/>
      <c r="BF73" s="69"/>
      <c r="BG73" s="71">
        <f t="shared" si="30"/>
        <v>1.3558500000000002</v>
      </c>
      <c r="BH73" s="71"/>
      <c r="BI73" s="71"/>
      <c r="BJ73" s="18">
        <f t="shared" si="31"/>
        <v>2269.7352524775838</v>
      </c>
      <c r="BL73" s="15">
        <v>2025</v>
      </c>
      <c r="BM73" s="22">
        <f>BM72*IF(Simulation!$D$35="SMPT",1+$E73,IF(Simulation!$D$35="PRIX",1+$B73))</f>
        <v>12150.724468586457</v>
      </c>
      <c r="BN73" s="23">
        <f>BN72*IF(Simulation!$D$35="SMPT",1+$E73,IF(Simulation!$D$35="PRIX",1+$B73))</f>
        <v>15884.984635737941</v>
      </c>
      <c r="BO73" s="23">
        <f>BO72*IF(Simulation!$D$35="SMPT",1+$E73,IF(Simulation!$D$35="PRIX",1+$B73))</f>
        <v>24652.93377891849</v>
      </c>
      <c r="BP73" s="5"/>
      <c r="BQ73" s="146">
        <v>0</v>
      </c>
      <c r="BR73" s="146">
        <v>4.2999999999999997E-2</v>
      </c>
      <c r="BS73" s="146">
        <v>7.3999999999999996E-2</v>
      </c>
      <c r="BT73" s="146">
        <v>9.0999999999999998E-2</v>
      </c>
      <c r="BV73" s="15">
        <v>2025</v>
      </c>
      <c r="BW73" s="22">
        <f>BW72*IF(Simulation!$D$35="SMPT",1+$E73,IF(Simulation!$D$35="PRIX",1+$B73))</f>
        <v>18639.347668326001</v>
      </c>
      <c r="BX73" s="23">
        <f>BX72*IF(Simulation!$D$35="SMPT",1+$E73,IF(Simulation!$D$35="PRIX",1+$B73))</f>
        <v>24367.485483197837</v>
      </c>
      <c r="BY73" s="23">
        <f>BY72*IF(Simulation!$D$35="SMPT",1+$E73,IF(Simulation!$D$35="PRIX",1+$B73))</f>
        <v>37815.508549499784</v>
      </c>
      <c r="BZ73" s="5"/>
      <c r="CA73" s="146">
        <v>0</v>
      </c>
      <c r="CB73" s="146">
        <f t="shared" si="41"/>
        <v>4.2999999999999997E-2</v>
      </c>
      <c r="CC73" s="146">
        <f t="shared" si="42"/>
        <v>7.3999999999999996E-2</v>
      </c>
      <c r="CD73" s="146">
        <f t="shared" si="43"/>
        <v>9.0999999999999998E-2</v>
      </c>
      <c r="CE73" s="146">
        <f t="shared" si="43"/>
        <v>3.2000000000000001E-2</v>
      </c>
      <c r="CG73" s="15">
        <v>2025</v>
      </c>
      <c r="CH73" s="317">
        <f t="shared" si="57"/>
        <v>9.1999999999999998E-2</v>
      </c>
      <c r="CI73" s="311">
        <f t="shared" si="25"/>
        <v>6.8000000000000005E-2</v>
      </c>
      <c r="CJ73" s="311">
        <f t="shared" si="26"/>
        <v>5.0000000000000001E-3</v>
      </c>
      <c r="CK73" s="311">
        <f t="shared" si="26"/>
        <v>0.98250000000000004</v>
      </c>
      <c r="CL73" s="313">
        <f t="shared" si="27"/>
        <v>0</v>
      </c>
      <c r="CM73" s="313">
        <v>0</v>
      </c>
      <c r="CN73" s="313">
        <v>0</v>
      </c>
      <c r="CO73" s="318">
        <f t="shared" si="28"/>
        <v>2.4000000000000001E-4</v>
      </c>
    </row>
    <row r="74" spans="1:96" x14ac:dyDescent="0.25">
      <c r="A74" s="15">
        <v>2026</v>
      </c>
      <c r="B74" s="54">
        <f>IF($F$1=1.8%,LOOKUP($A74,Prix!B$6:B$127,Prix!$G$6:$G$127),IF($F$1=1.5%,LOOKUP($A74,Prix!B$6:B$127,Prix!$H$6:$H$127),IF($F$1=1.3%,LOOKUP($A74,Prix!B$6:B$127,Prix!$I$6:$I$127),LOOKUP($A74,Prix!B$6:B$127,Prix!$J$6:$J$127))))</f>
        <v>1.7500000000000002E-2</v>
      </c>
      <c r="C74" s="7">
        <f t="shared" si="33"/>
        <v>1.0719534408660003</v>
      </c>
      <c r="D74" s="5">
        <f>IF($F$1=1.8%,LOOKUP($A74,SMPT!$B$6:$B$127,SMPT!$C$6:$C$127),IF($F$1=1.5%,LOOKUP($A74,SMPT!$B$6:$B$127,SMPT!$D$6:$D$127),IF($F$1=1.3%,LOOKUP($A74,SMPT!$B$6:$B$127,SMPT!$E$6:$E$127),LOOKUP($A74,SMPT!$B$6:$B$127,SMPT!$F$6:$F$127))))</f>
        <v>44121.25760296575</v>
      </c>
      <c r="E74" s="17">
        <f t="shared" si="34"/>
        <v>2.7675000000000116E-2</v>
      </c>
      <c r="F74" s="60">
        <f>IF($F$1=1.8%,LOOKUP($A74,SMIC!$B$6:$B$125,SMIC!$C$6:$C$125),IF($F$1=1.5%,LOOKUP($A74,SMIC!$B$6:$B$125,SMIC!$D$6:$D$125),IF($F$1=1.3%,LOOKUP($A74,SMIC!$B$6:$B$125,SMIC!$E$6:$E$125),LOOKUP($A74,SMIC!$B$6:$B$125,SMIC!$F$6:$F$125))))</f>
        <v>20202.589671500002</v>
      </c>
      <c r="G74" s="153">
        <f t="shared" si="29"/>
        <v>1.2012634253596879</v>
      </c>
      <c r="H74" s="357">
        <f t="shared" si="23"/>
        <v>3.1233595800524983E-2</v>
      </c>
      <c r="I74" s="15">
        <v>2026</v>
      </c>
      <c r="J74" s="13">
        <f t="shared" si="35"/>
        <v>23084.476814579219</v>
      </c>
      <c r="K74" s="65">
        <f t="shared" si="44"/>
        <v>0.17749999999999999</v>
      </c>
      <c r="L74" s="65">
        <f t="shared" si="36"/>
        <v>0.10450000000000001</v>
      </c>
      <c r="M74" s="65">
        <f t="shared" si="37"/>
        <v>7.2999999999999982E-2</v>
      </c>
      <c r="N74" s="65">
        <f t="shared" si="16"/>
        <v>2.3000000000000003E-2</v>
      </c>
      <c r="O74" s="65">
        <f>IF(Simulation!$D$43="Oui",$Q74,0)</f>
        <v>1.9000000000000003E-2</v>
      </c>
      <c r="P74" s="65">
        <f>IF(Simulation!$D$43="Oui",$R74,0)</f>
        <v>4.0000000000000001E-3</v>
      </c>
      <c r="Q74" s="678">
        <f t="shared" si="38"/>
        <v>1.9000000000000003E-2</v>
      </c>
      <c r="R74" s="678">
        <f t="shared" si="38"/>
        <v>4.0000000000000001E-3</v>
      </c>
      <c r="S74" s="56">
        <f>IF($F$1=1.8%,LOOKUP($A74,Sal_valid!$B$6:$B$127,Sal_valid!$C$6:$C$127),IF($F$1=1.5%,LOOKUP($A74,Sal_valid!$B$6:$B$127,Sal_valid!$D$6:$D$127),IF($F$1=1.3%,LOOKUP($A74,Sal_valid!$B$6:$B$127,Sal_valid!$E$6:$E$127),LOOKUP($A74,Sal_valid!$B$6:$B$127,Sal_valid!$F$6:$F$127))))</f>
        <v>1664.9895454830601</v>
      </c>
      <c r="T74" s="76">
        <f>IF(Simulation!$D$33="Prix",Revalo_RB!$D86,Barèmes!$E74)</f>
        <v>1.7500000000000002E-2</v>
      </c>
      <c r="U74" s="76">
        <f>IF(Simulation!$D$34="Prix",Revalo_RB!$H86,Barèmes!$E74)</f>
        <v>1.7500000000000002E-2</v>
      </c>
      <c r="V74" s="56">
        <f>IF($F$1=1.8%,LOOKUP($A74,PSS!$B$6:$B$127,PSS!$C$6:$C$127),IF($F$1=1.5%,LOOKUP($A74,PSS!$B$6:$B$127,PSS!$D$6:$D$127),IF($F$1=1.3%,LOOKUP($A74,PSS!$B$6:$B$127,PSS!$E$6:$E$127),LOOKUP($A74,PSS!$B$6:$B$127,PSS!$F$6:$F$127))))</f>
        <v>47148</v>
      </c>
      <c r="W74" s="56">
        <f>IF($F$1=1.8%,LOOKUP($A74,Smic_AVPF!$B$6:$B$104,Smic_AVPF!$C$6:$C$104),IF($F$1=1.5%,LOOKUP($A74,Smic_AVPF!$B$6:$B$104,Smic_AVPF!$D$6:$D$104),IF($F$1=1.3%,LOOKUP($A74,Smic_AVPF!$B$6:$B$104,Smic_AVPF!$E$6:$E$104),LOOKUP($A74,Smic_AVPF!$B$6:$B$104,Smic_AVPF!$F$6:$F$104))))</f>
        <v>22244.522789059862</v>
      </c>
      <c r="X74" s="56">
        <f>IF(Simulation!$D$32="SMPT",(1+$E74)*X73,IF(Simulation!$D$32="PRIX",Minima!$O23))</f>
        <v>8299.773578758035</v>
      </c>
      <c r="Y74" s="56">
        <f>IF(Simulation!$D$32="SMPT",(1+$E74)*Y73,IF(Simulation!$D$32="PRIX",Minima!$P23))</f>
        <v>9069.3811153611859</v>
      </c>
      <c r="Z74" s="56">
        <f t="shared" si="45"/>
        <v>15472.769548444319</v>
      </c>
      <c r="AA74" s="58"/>
      <c r="AB74" s="15">
        <v>2026</v>
      </c>
      <c r="AC74" s="64">
        <f t="shared" si="46"/>
        <v>6.2E-2</v>
      </c>
      <c r="AD74" s="65">
        <f t="shared" si="39"/>
        <v>3.7200000000000004E-2</v>
      </c>
      <c r="AE74" s="65">
        <f t="shared" si="47"/>
        <v>2.4799999999999996E-2</v>
      </c>
      <c r="AF74" s="65">
        <f t="shared" si="48"/>
        <v>0.17</v>
      </c>
      <c r="AG74" s="65">
        <f t="shared" si="40"/>
        <v>0.10200000000000001</v>
      </c>
      <c r="AH74" s="65">
        <f t="shared" si="49"/>
        <v>6.8000000000000005E-2</v>
      </c>
      <c r="AI74" s="66">
        <f t="shared" si="50"/>
        <v>1.27</v>
      </c>
      <c r="AJ74" s="66"/>
      <c r="AK74" s="66"/>
      <c r="AL74" s="65">
        <f t="shared" si="20"/>
        <v>3.4999999999999996E-3</v>
      </c>
      <c r="AM74" s="65">
        <f>IF(Simulation!$D$42="Oui",Barèmes!$AO74,0)</f>
        <v>2.0999999999999999E-3</v>
      </c>
      <c r="AN74" s="65">
        <f>IF(Simulation!$D$42="Oui",Barèmes!$AP74,0)</f>
        <v>1.3999999999999998E-3</v>
      </c>
      <c r="AO74" s="678">
        <f t="shared" si="51"/>
        <v>2.0999999999999999E-3</v>
      </c>
      <c r="AP74" s="678">
        <f t="shared" si="52"/>
        <v>1.3999999999999998E-3</v>
      </c>
      <c r="AQ74" s="65">
        <f t="shared" si="15"/>
        <v>2.1499999999999998E-2</v>
      </c>
      <c r="AR74" s="65">
        <f>IF(Simulation!$D$42="Oui",Barèmes!$AT74,0)</f>
        <v>1.29E-2</v>
      </c>
      <c r="AS74" s="65">
        <f>IF(Simulation!$D$42="Oui",Barèmes!$AU74,0)</f>
        <v>8.6E-3</v>
      </c>
      <c r="AT74" s="678">
        <f t="shared" si="53"/>
        <v>1.29E-2</v>
      </c>
      <c r="AU74" s="678">
        <f t="shared" si="54"/>
        <v>8.6E-3</v>
      </c>
      <c r="AV74" s="65">
        <f t="shared" si="21"/>
        <v>2.7000000000000003E-2</v>
      </c>
      <c r="AW74" s="65">
        <f>IF(Simulation!$D$42="Oui",Barèmes!$AY74,0)</f>
        <v>1.6200000000000003E-2</v>
      </c>
      <c r="AX74" s="65">
        <f>IF(Simulation!$D$42="Oui",Barèmes!$AZ74,0)</f>
        <v>1.0800000000000001E-2</v>
      </c>
      <c r="AY74" s="678">
        <f t="shared" si="55"/>
        <v>1.6200000000000003E-2</v>
      </c>
      <c r="AZ74" s="678">
        <f t="shared" si="56"/>
        <v>1.0800000000000001E-2</v>
      </c>
      <c r="BA74" s="69">
        <f>IF($F$1=1.8%,LOOKUP($A74,'AGIRC-ARRCO'!$B$6:$B$57,'AGIRC-ARRCO'!$C$6:$C$57),IF($F$1=1.5%,LOOKUP($A74,'AGIRC-ARRCO'!$B$6:$B$57,'AGIRC-ARRCO'!$D$6:$D$57),IF($F$1=1.3%,LOOKUP($A74,'AGIRC-ARRCO'!$B$6:$B$57,'AGIRC-ARRCO'!$E$6:$E$57),LOOKUP($A74,'AGIRC-ARRCO'!$B$6:$B$57,'AGIRC-ARRCO'!$F$6:$F$57))))</f>
        <v>19.937100000000001</v>
      </c>
      <c r="BB74" s="69"/>
      <c r="BC74" s="69"/>
      <c r="BD74" s="69">
        <f>IF($F$1=1.8%,LOOKUP($A74,'AGIRC-ARRCO'!$B$6:$B$57,'AGIRC-ARRCO'!$G$6:$G$57),IF($F$1=1.5%,LOOKUP($A74,'AGIRC-ARRCO'!$B$6:$B$57,'AGIRC-ARRCO'!$H$6:$H$57),IF($F$1=1.3%,LOOKUP($A74,'AGIRC-ARRCO'!$B$6:$B$57,'AGIRC-ARRCO'!$I$6:$I$57),LOOKUP($A74,'AGIRC-ARRCO'!$B$6:$B$57,'AGIRC-ARRCO'!$J$6:$J$57))))</f>
        <v>1.4041999999999999</v>
      </c>
      <c r="BE74" s="69"/>
      <c r="BF74" s="69"/>
      <c r="BG74" s="71">
        <f t="shared" si="30"/>
        <v>1.3824500000000002</v>
      </c>
      <c r="BH74" s="71"/>
      <c r="BI74" s="71"/>
      <c r="BJ74" s="18">
        <f t="shared" si="31"/>
        <v>2312.7220386974986</v>
      </c>
      <c r="BL74" s="15">
        <v>2026</v>
      </c>
      <c r="BM74" s="22">
        <f>BM73*IF(Simulation!$D$35="SMPT",1+$E74,IF(Simulation!$D$35="PRIX",1+$B74))</f>
        <v>12363.362146786721</v>
      </c>
      <c r="BN74" s="23">
        <f>BN73*IF(Simulation!$D$35="SMPT",1+$E74,IF(Simulation!$D$35="PRIX",1+$B74))</f>
        <v>16162.971866863356</v>
      </c>
      <c r="BO74" s="23">
        <f>BO73*IF(Simulation!$D$35="SMPT",1+$E74,IF(Simulation!$D$35="PRIX",1+$B74))</f>
        <v>25084.360120049565</v>
      </c>
      <c r="BP74" s="5"/>
      <c r="BQ74" s="146">
        <v>0</v>
      </c>
      <c r="BR74" s="146">
        <v>4.2999999999999997E-2</v>
      </c>
      <c r="BS74" s="146">
        <v>7.3999999999999996E-2</v>
      </c>
      <c r="BT74" s="146">
        <v>9.0999999999999998E-2</v>
      </c>
      <c r="BV74" s="15">
        <v>2026</v>
      </c>
      <c r="BW74" s="22">
        <f>BW73*IF(Simulation!$D$35="SMPT",1+$E74,IF(Simulation!$D$35="PRIX",1+$B74))</f>
        <v>18965.536252521706</v>
      </c>
      <c r="BX74" s="23">
        <f>BX73*IF(Simulation!$D$35="SMPT",1+$E74,IF(Simulation!$D$35="PRIX",1+$B74))</f>
        <v>24793.916479153802</v>
      </c>
      <c r="BY74" s="23">
        <f>BY73*IF(Simulation!$D$35="SMPT",1+$E74,IF(Simulation!$D$35="PRIX",1+$B74))</f>
        <v>38477.279949116033</v>
      </c>
      <c r="BZ74" s="5"/>
      <c r="CA74" s="146">
        <v>0</v>
      </c>
      <c r="CB74" s="146">
        <f t="shared" si="41"/>
        <v>4.2999999999999997E-2</v>
      </c>
      <c r="CC74" s="146">
        <f t="shared" si="42"/>
        <v>7.3999999999999996E-2</v>
      </c>
      <c r="CD74" s="146">
        <f t="shared" si="43"/>
        <v>9.0999999999999998E-2</v>
      </c>
      <c r="CE74" s="146">
        <f t="shared" si="43"/>
        <v>3.2000000000000001E-2</v>
      </c>
      <c r="CG74" s="15">
        <v>2026</v>
      </c>
      <c r="CH74" s="317">
        <f t="shared" si="57"/>
        <v>9.1999999999999998E-2</v>
      </c>
      <c r="CI74" s="311">
        <f t="shared" si="25"/>
        <v>6.8000000000000005E-2</v>
      </c>
      <c r="CJ74" s="311">
        <f t="shared" si="26"/>
        <v>5.0000000000000001E-3</v>
      </c>
      <c r="CK74" s="311">
        <f t="shared" si="26"/>
        <v>0.98250000000000004</v>
      </c>
      <c r="CL74" s="313">
        <f t="shared" si="27"/>
        <v>0</v>
      </c>
      <c r="CM74" s="313">
        <v>0</v>
      </c>
      <c r="CN74" s="313">
        <v>0</v>
      </c>
      <c r="CO74" s="318">
        <f t="shared" si="28"/>
        <v>2.4000000000000001E-4</v>
      </c>
    </row>
    <row r="75" spans="1:96" x14ac:dyDescent="0.25">
      <c r="A75" s="15">
        <v>2027</v>
      </c>
      <c r="B75" s="54">
        <f>IF($F$1=1.8%,LOOKUP($A75,Prix!B$6:B$127,Prix!$G$6:$G$127),IF($F$1=1.5%,LOOKUP($A75,Prix!B$6:B$127,Prix!$H$6:$H$127),IF($F$1=1.3%,LOOKUP($A75,Prix!B$6:B$127,Prix!$I$6:$I$127),LOOKUP($A75,Prix!B$6:B$127,Prix!$J$6:$J$127))))</f>
        <v>1.7500000000000002E-2</v>
      </c>
      <c r="C75" s="7">
        <f t="shared" si="33"/>
        <v>1.0907126260811555</v>
      </c>
      <c r="D75" s="5">
        <f>IF($F$1=1.8%,LOOKUP($A75,SMPT!$B$6:$B$127,SMPT!$C$6:$C$127),IF($F$1=1.5%,LOOKUP($A75,SMPT!$B$6:$B$127,SMPT!$D$6:$D$127),IF($F$1=1.3%,LOOKUP($A75,SMPT!$B$6:$B$127,SMPT!$E$6:$E$127),LOOKUP($A75,SMPT!$B$6:$B$127,SMPT!$F$6:$F$127))))</f>
        <v>45342.313407127833</v>
      </c>
      <c r="E75" s="17">
        <f t="shared" si="34"/>
        <v>2.7675000000000116E-2</v>
      </c>
      <c r="F75" s="60">
        <f>IF($F$1=1.8%,LOOKUP($A75,SMIC!$B$6:$B$125,SMIC!$C$6:$C$125),IF($F$1=1.5%,LOOKUP($A75,SMIC!$B$6:$B$125,SMIC!$D$6:$D$125),IF($F$1=1.3%,LOOKUP($A75,SMIC!$B$6:$B$125,SMIC!$E$6:$E$125),LOOKUP($A75,SMIC!$B$6:$B$125,SMIC!$F$6:$F$125))))</f>
        <v>20633.824049333001</v>
      </c>
      <c r="G75" s="153">
        <f t="shared" si="29"/>
        <v>1.2345083906565173</v>
      </c>
      <c r="H75" s="357">
        <f t="shared" si="23"/>
        <v>3.0542122677525985E-2</v>
      </c>
      <c r="I75" s="15">
        <v>2027</v>
      </c>
      <c r="J75" s="13">
        <f t="shared" si="35"/>
        <v>23577.226514424816</v>
      </c>
      <c r="K75" s="65">
        <f t="shared" si="44"/>
        <v>0.17749999999999999</v>
      </c>
      <c r="L75" s="65">
        <f t="shared" si="36"/>
        <v>0.10450000000000001</v>
      </c>
      <c r="M75" s="65">
        <f t="shared" si="37"/>
        <v>7.2999999999999982E-2</v>
      </c>
      <c r="N75" s="65">
        <f t="shared" si="16"/>
        <v>2.3000000000000003E-2</v>
      </c>
      <c r="O75" s="65">
        <f>IF(Simulation!$D$43="Oui",$Q75,0)</f>
        <v>1.9000000000000003E-2</v>
      </c>
      <c r="P75" s="65">
        <f>IF(Simulation!$D$43="Oui",$R75,0)</f>
        <v>4.0000000000000001E-3</v>
      </c>
      <c r="Q75" s="678">
        <f t="shared" si="38"/>
        <v>1.9000000000000003E-2</v>
      </c>
      <c r="R75" s="678">
        <f t="shared" si="38"/>
        <v>4.0000000000000001E-3</v>
      </c>
      <c r="S75" s="56">
        <f>IF($F$1=1.8%,LOOKUP($A75,Sal_valid!$B$6:$B$127,Sal_valid!$C$6:$C$127),IF($F$1=1.5%,LOOKUP($A75,Sal_valid!$B$6:$B$127,Sal_valid!$D$6:$D$127),IF($F$1=1.3%,LOOKUP($A75,Sal_valid!$B$6:$B$127,Sal_valid!$E$6:$E$127),LOOKUP($A75,Sal_valid!$B$6:$B$127,Sal_valid!$F$6:$F$127))))</f>
        <v>1700.5295798261684</v>
      </c>
      <c r="T75" s="76">
        <f>IF(Simulation!$D$33="Prix",Revalo_RB!$D87,Barèmes!$E75)</f>
        <v>1.7500000000000002E-2</v>
      </c>
      <c r="U75" s="76">
        <f>IF(Simulation!$D$34="Prix",Revalo_RB!$H87,Barèmes!$E75)</f>
        <v>1.7500000000000002E-2</v>
      </c>
      <c r="V75" s="56">
        <f>IF($F$1=1.8%,LOOKUP($A75,PSS!$B$6:$B$127,PSS!$C$6:$C$127),IF($F$1=1.5%,LOOKUP($A75,PSS!$B$6:$B$127,PSS!$D$6:$D$127),IF($F$1=1.3%,LOOKUP($A75,PSS!$B$6:$B$127,PSS!$E$6:$E$127),LOOKUP($A75,PSS!$B$6:$B$127,PSS!$F$6:$F$127))))</f>
        <v>48588</v>
      </c>
      <c r="W75" s="56">
        <f>IF($F$1=1.8%,LOOKUP($A75,Smic_AVPF!$B$6:$B$104,Smic_AVPF!$C$6:$C$104),IF($F$1=1.5%,LOOKUP($A75,Smic_AVPF!$B$6:$B$104,Smic_AVPF!$D$6:$D$104),IF($F$1=1.3%,LOOKUP($A75,Smic_AVPF!$B$6:$B$104,Smic_AVPF!$E$6:$E$104),LOOKUP($A75,Smic_AVPF!$B$6:$B$104,Smic_AVPF!$F$6:$F$104))))</f>
        <v>22719.343250253736</v>
      </c>
      <c r="X75" s="56">
        <f>IF(Simulation!$D$32="SMPT",(1+$E75)*X74,IF(Simulation!$D$32="PRIX",Minima!$O24))</f>
        <v>8445.019616386302</v>
      </c>
      <c r="Y75" s="56">
        <f>IF(Simulation!$D$32="SMPT",(1+$E75)*Y74,IF(Simulation!$D$32="PRIX",Minima!$P24))</f>
        <v>9228.095284880008</v>
      </c>
      <c r="Z75" s="56">
        <f t="shared" si="45"/>
        <v>15743.543015542096</v>
      </c>
      <c r="AA75" s="58"/>
      <c r="AB75" s="15">
        <v>2027</v>
      </c>
      <c r="AC75" s="64">
        <f t="shared" si="46"/>
        <v>6.2E-2</v>
      </c>
      <c r="AD75" s="65">
        <f t="shared" si="39"/>
        <v>3.7200000000000004E-2</v>
      </c>
      <c r="AE75" s="65">
        <f t="shared" si="47"/>
        <v>2.4799999999999996E-2</v>
      </c>
      <c r="AF75" s="65">
        <f t="shared" si="48"/>
        <v>0.17</v>
      </c>
      <c r="AG75" s="65">
        <f t="shared" si="40"/>
        <v>0.10200000000000001</v>
      </c>
      <c r="AH75" s="65">
        <f t="shared" si="49"/>
        <v>6.8000000000000005E-2</v>
      </c>
      <c r="AI75" s="66">
        <f t="shared" si="50"/>
        <v>1.27</v>
      </c>
      <c r="AJ75" s="66"/>
      <c r="AK75" s="66"/>
      <c r="AL75" s="65">
        <f t="shared" si="20"/>
        <v>3.4999999999999996E-3</v>
      </c>
      <c r="AM75" s="65">
        <f>IF(Simulation!$D$42="Oui",Barèmes!$AO75,0)</f>
        <v>2.0999999999999999E-3</v>
      </c>
      <c r="AN75" s="65">
        <f>IF(Simulation!$D$42="Oui",Barèmes!$AP75,0)</f>
        <v>1.3999999999999998E-3</v>
      </c>
      <c r="AO75" s="678">
        <f t="shared" si="51"/>
        <v>2.0999999999999999E-3</v>
      </c>
      <c r="AP75" s="678">
        <f t="shared" si="52"/>
        <v>1.3999999999999998E-3</v>
      </c>
      <c r="AQ75" s="65">
        <f t="shared" si="15"/>
        <v>2.1499999999999998E-2</v>
      </c>
      <c r="AR75" s="65">
        <f>IF(Simulation!$D$42="Oui",Barèmes!$AT75,0)</f>
        <v>1.29E-2</v>
      </c>
      <c r="AS75" s="65">
        <f>IF(Simulation!$D$42="Oui",Barèmes!$AU75,0)</f>
        <v>8.6E-3</v>
      </c>
      <c r="AT75" s="678">
        <f t="shared" si="53"/>
        <v>1.29E-2</v>
      </c>
      <c r="AU75" s="678">
        <f t="shared" si="54"/>
        <v>8.6E-3</v>
      </c>
      <c r="AV75" s="65">
        <f t="shared" si="21"/>
        <v>2.7000000000000003E-2</v>
      </c>
      <c r="AW75" s="65">
        <f>IF(Simulation!$D$42="Oui",Barèmes!$AY75,0)</f>
        <v>1.6200000000000003E-2</v>
      </c>
      <c r="AX75" s="65">
        <f>IF(Simulation!$D$42="Oui",Barèmes!$AZ75,0)</f>
        <v>1.0800000000000001E-2</v>
      </c>
      <c r="AY75" s="678">
        <f t="shared" si="55"/>
        <v>1.6200000000000003E-2</v>
      </c>
      <c r="AZ75" s="678">
        <f t="shared" si="56"/>
        <v>1.0800000000000001E-2</v>
      </c>
      <c r="BA75" s="69">
        <f>IF($F$1=1.8%,LOOKUP($A75,'AGIRC-ARRCO'!$B$6:$B$57,'AGIRC-ARRCO'!$C$6:$C$57),IF($F$1=1.5%,LOOKUP($A75,'AGIRC-ARRCO'!$B$6:$B$57,'AGIRC-ARRCO'!$D$6:$D$57),IF($F$1=1.3%,LOOKUP($A75,'AGIRC-ARRCO'!$B$6:$B$57,'AGIRC-ARRCO'!$E$6:$E$57),LOOKUP($A75,'AGIRC-ARRCO'!$B$6:$B$57,'AGIRC-ARRCO'!$F$6:$F$57))))</f>
        <v>20.545200000000001</v>
      </c>
      <c r="BB75" s="69"/>
      <c r="BC75" s="69"/>
      <c r="BD75" s="69">
        <f>IF($F$1=1.8%,LOOKUP($A75,'AGIRC-ARRCO'!$B$6:$B$57,'AGIRC-ARRCO'!$G$6:$G$57),IF($F$1=1.5%,LOOKUP($A75,'AGIRC-ARRCO'!$B$6:$B$57,'AGIRC-ARRCO'!$H$6:$H$57),IF($F$1=1.3%,LOOKUP($A75,'AGIRC-ARRCO'!$B$6:$B$57,'AGIRC-ARRCO'!$I$6:$I$57),LOOKUP($A75,'AGIRC-ARRCO'!$B$6:$B$57,'AGIRC-ARRCO'!$J$6:$J$57))))</f>
        <v>1.4291</v>
      </c>
      <c r="BE75" s="69"/>
      <c r="BF75" s="69"/>
      <c r="BG75" s="71">
        <f t="shared" si="30"/>
        <v>1.40835</v>
      </c>
      <c r="BH75" s="71"/>
      <c r="BI75" s="71"/>
      <c r="BJ75" s="18">
        <f t="shared" si="31"/>
        <v>2353.7324209532799</v>
      </c>
      <c r="BL75" s="15">
        <v>2027</v>
      </c>
      <c r="BM75" s="22">
        <f>BM74*IF(Simulation!$D$35="SMPT",1+$E75,IF(Simulation!$D$35="PRIX",1+$B75))</f>
        <v>12579.72098435549</v>
      </c>
      <c r="BN75" s="23">
        <f>BN74*IF(Simulation!$D$35="SMPT",1+$E75,IF(Simulation!$D$35="PRIX",1+$B75))</f>
        <v>16445.823874533467</v>
      </c>
      <c r="BO75" s="23">
        <f>BO74*IF(Simulation!$D$35="SMPT",1+$E75,IF(Simulation!$D$35="PRIX",1+$B75))</f>
        <v>25523.336422150434</v>
      </c>
      <c r="BP75" s="5"/>
      <c r="BQ75" s="146">
        <v>0</v>
      </c>
      <c r="BR75" s="146">
        <v>4.2999999999999997E-2</v>
      </c>
      <c r="BS75" s="146">
        <v>7.3999999999999996E-2</v>
      </c>
      <c r="BT75" s="146">
        <v>9.0999999999999998E-2</v>
      </c>
      <c r="BV75" s="15">
        <v>2027</v>
      </c>
      <c r="BW75" s="22">
        <f>BW74*IF(Simulation!$D$35="SMPT",1+$E75,IF(Simulation!$D$35="PRIX",1+$B75))</f>
        <v>19297.433136940836</v>
      </c>
      <c r="BX75" s="23">
        <f>BX74*IF(Simulation!$D$35="SMPT",1+$E75,IF(Simulation!$D$35="PRIX",1+$B75))</f>
        <v>25227.810017538995</v>
      </c>
      <c r="BY75" s="23">
        <f>BY74*IF(Simulation!$D$35="SMPT",1+$E75,IF(Simulation!$D$35="PRIX",1+$B75))</f>
        <v>39150.632348225568</v>
      </c>
      <c r="BZ75" s="5"/>
      <c r="CA75" s="146">
        <v>0</v>
      </c>
      <c r="CB75" s="146">
        <f t="shared" si="41"/>
        <v>4.2999999999999997E-2</v>
      </c>
      <c r="CC75" s="146">
        <f t="shared" si="42"/>
        <v>7.3999999999999996E-2</v>
      </c>
      <c r="CD75" s="146">
        <f t="shared" si="43"/>
        <v>9.0999999999999998E-2</v>
      </c>
      <c r="CE75" s="146">
        <f t="shared" si="43"/>
        <v>3.2000000000000001E-2</v>
      </c>
      <c r="CG75" s="15">
        <v>2027</v>
      </c>
      <c r="CH75" s="317">
        <f t="shared" si="57"/>
        <v>9.1999999999999998E-2</v>
      </c>
      <c r="CI75" s="311">
        <f t="shared" si="25"/>
        <v>6.8000000000000005E-2</v>
      </c>
      <c r="CJ75" s="311">
        <f t="shared" si="26"/>
        <v>5.0000000000000001E-3</v>
      </c>
      <c r="CK75" s="311">
        <f t="shared" si="26"/>
        <v>0.98250000000000004</v>
      </c>
      <c r="CL75" s="313">
        <f t="shared" si="27"/>
        <v>0</v>
      </c>
      <c r="CM75" s="313">
        <v>0</v>
      </c>
      <c r="CN75" s="313">
        <v>0</v>
      </c>
      <c r="CO75" s="318">
        <f t="shared" si="28"/>
        <v>2.4000000000000001E-4</v>
      </c>
    </row>
    <row r="76" spans="1:96" x14ac:dyDescent="0.25">
      <c r="A76" s="15">
        <v>2028</v>
      </c>
      <c r="B76" s="54">
        <f>IF($F$1=1.8%,LOOKUP($A76,Prix!B$6:B$127,Prix!$G$6:$G$127),IF($F$1=1.5%,LOOKUP($A76,Prix!B$6:B$127,Prix!$H$6:$H$127),IF($F$1=1.3%,LOOKUP($A76,Prix!B$6:B$127,Prix!$I$6:$I$127),LOOKUP($A76,Prix!B$6:B$127,Prix!$J$6:$J$127))))</f>
        <v>1.7500000000000002E-2</v>
      </c>
      <c r="C76" s="7">
        <f t="shared" si="33"/>
        <v>1.1098000970375759</v>
      </c>
      <c r="D76" s="5">
        <f>IF($F$1=1.8%,LOOKUP($A76,SMPT!$B$6:$B$127,SMPT!$C$6:$C$127),IF($F$1=1.5%,LOOKUP($A76,SMPT!$B$6:$B$127,SMPT!$D$6:$D$127),IF($F$1=1.3%,LOOKUP($A76,SMPT!$B$6:$B$127,SMPT!$E$6:$E$127),LOOKUP($A76,SMPT!$B$6:$B$127,SMPT!$F$6:$F$127))))</f>
        <v>46583.321189502574</v>
      </c>
      <c r="E76" s="17">
        <f t="shared" si="34"/>
        <v>2.7369750000000082E-2</v>
      </c>
      <c r="F76" s="60">
        <f>IF($F$1=1.8%,LOOKUP($A76,SMIC!$B$6:$B$125,SMIC!$C$6:$C$125),IF($F$1=1.5%,LOOKUP($A76,SMIC!$B$6:$B$125,SMIC!$D$6:$D$125),IF($F$1=1.3%,LOOKUP($A76,SMIC!$B$6:$B$125,SMIC!$E$6:$E$125),LOOKUP($A76,SMIC!$B$6:$B$125,SMIC!$F$6:$F$125))))</f>
        <v>21098.461657731896</v>
      </c>
      <c r="G76" s="153">
        <f t="shared" si="29"/>
        <v>1.2682965766816887</v>
      </c>
      <c r="H76" s="357">
        <f t="shared" si="23"/>
        <v>2.9389972832798206E-2</v>
      </c>
      <c r="I76" s="15">
        <v>2028</v>
      </c>
      <c r="J76" s="13">
        <f t="shared" si="35"/>
        <v>24108.144395383264</v>
      </c>
      <c r="K76" s="65">
        <f t="shared" si="44"/>
        <v>0.17749999999999999</v>
      </c>
      <c r="L76" s="65">
        <f t="shared" si="36"/>
        <v>0.10450000000000001</v>
      </c>
      <c r="M76" s="65">
        <f t="shared" si="37"/>
        <v>7.2999999999999982E-2</v>
      </c>
      <c r="N76" s="65">
        <f t="shared" si="16"/>
        <v>2.3000000000000003E-2</v>
      </c>
      <c r="O76" s="65">
        <f>IF(Simulation!$D$43="Oui",$Q76,0)</f>
        <v>1.9000000000000003E-2</v>
      </c>
      <c r="P76" s="65">
        <f>IF(Simulation!$D$43="Oui",$R76,0)</f>
        <v>4.0000000000000001E-3</v>
      </c>
      <c r="Q76" s="678">
        <f t="shared" si="38"/>
        <v>1.9000000000000003E-2</v>
      </c>
      <c r="R76" s="678">
        <f t="shared" si="38"/>
        <v>4.0000000000000001E-3</v>
      </c>
      <c r="S76" s="56">
        <f>IF($F$1=1.8%,LOOKUP($A76,Sal_valid!$B$6:$B$127,Sal_valid!$C$6:$C$127),IF($F$1=1.5%,LOOKUP($A76,Sal_valid!$B$6:$B$127,Sal_valid!$D$6:$D$127),IF($F$1=1.3%,LOOKUP($A76,Sal_valid!$B$6:$B$127,Sal_valid!$E$6:$E$127),LOOKUP($A76,Sal_valid!$B$6:$B$127,Sal_valid!$F$6:$F$127))))</f>
        <v>1738.8225300370889</v>
      </c>
      <c r="T76" s="76">
        <f>IF(Simulation!$D$33="Prix",Revalo_RB!$D88,Barèmes!$E76)</f>
        <v>1.7500000000000002E-2</v>
      </c>
      <c r="U76" s="76">
        <f>IF(Simulation!$D$34="Prix",Revalo_RB!$H88,Barèmes!$E76)</f>
        <v>1.7500000000000002E-2</v>
      </c>
      <c r="V76" s="56">
        <f>IF($F$1=1.8%,LOOKUP($A76,PSS!$B$6:$B$127,PSS!$C$6:$C$127),IF($F$1=1.5%,LOOKUP($A76,PSS!$B$6:$B$127,PSS!$D$6:$D$127),IF($F$1=1.3%,LOOKUP($A76,PSS!$B$6:$B$127,PSS!$E$6:$E$127),LOOKUP($A76,PSS!$B$6:$B$127,PSS!$F$6:$F$127))))</f>
        <v>50016</v>
      </c>
      <c r="W76" s="56">
        <f>IF($F$1=1.8%,LOOKUP($A76,Smic_AVPF!$B$6:$B$104,Smic_AVPF!$C$6:$C$104),IF($F$1=1.5%,LOOKUP($A76,Smic_AVPF!$B$6:$B$104,Smic_AVPF!$D$6:$D$104),IF($F$1=1.3%,LOOKUP($A76,Smic_AVPF!$B$6:$B$104,Smic_AVPF!$E$6:$E$104),LOOKUP($A76,Smic_AVPF!$B$6:$B$104,Smic_AVPF!$F$6:$F$104))))</f>
        <v>23230.943101398763</v>
      </c>
      <c r="X76" s="56">
        <f>IF(Simulation!$D$32="SMPT",(1+$E76)*X75,IF(Simulation!$D$32="PRIX",Minima!$O25))</f>
        <v>8592.8074596730621</v>
      </c>
      <c r="Y76" s="56">
        <f>IF(Simulation!$D$32="SMPT",(1+$E76)*Y75,IF(Simulation!$D$32="PRIX",Minima!$P25))</f>
        <v>9389.5869523654092</v>
      </c>
      <c r="Z76" s="56">
        <f t="shared" si="45"/>
        <v>16019.055018314084</v>
      </c>
      <c r="AA76" s="58"/>
      <c r="AB76" s="15">
        <v>2028</v>
      </c>
      <c r="AC76" s="64">
        <f t="shared" si="46"/>
        <v>6.2E-2</v>
      </c>
      <c r="AD76" s="65">
        <f t="shared" si="39"/>
        <v>3.7200000000000004E-2</v>
      </c>
      <c r="AE76" s="65">
        <f t="shared" si="47"/>
        <v>2.4799999999999996E-2</v>
      </c>
      <c r="AF76" s="65">
        <f t="shared" si="48"/>
        <v>0.17</v>
      </c>
      <c r="AG76" s="65">
        <f t="shared" si="40"/>
        <v>0.10200000000000001</v>
      </c>
      <c r="AH76" s="65">
        <f t="shared" si="49"/>
        <v>6.8000000000000005E-2</v>
      </c>
      <c r="AI76" s="66">
        <f t="shared" si="50"/>
        <v>1.27</v>
      </c>
      <c r="AJ76" s="66"/>
      <c r="AK76" s="66"/>
      <c r="AL76" s="65">
        <f t="shared" si="20"/>
        <v>3.4999999999999996E-3</v>
      </c>
      <c r="AM76" s="65">
        <f>IF(Simulation!$D$42="Oui",Barèmes!$AO76,0)</f>
        <v>2.0999999999999999E-3</v>
      </c>
      <c r="AN76" s="65">
        <f>IF(Simulation!$D$42="Oui",Barèmes!$AP76,0)</f>
        <v>1.3999999999999998E-3</v>
      </c>
      <c r="AO76" s="678">
        <f t="shared" si="51"/>
        <v>2.0999999999999999E-3</v>
      </c>
      <c r="AP76" s="678">
        <f t="shared" si="52"/>
        <v>1.3999999999999998E-3</v>
      </c>
      <c r="AQ76" s="65">
        <f t="shared" si="15"/>
        <v>2.1499999999999998E-2</v>
      </c>
      <c r="AR76" s="65">
        <f>IF(Simulation!$D$42="Oui",Barèmes!$AT76,0)</f>
        <v>1.29E-2</v>
      </c>
      <c r="AS76" s="65">
        <f>IF(Simulation!$D$42="Oui",Barèmes!$AU76,0)</f>
        <v>8.6E-3</v>
      </c>
      <c r="AT76" s="678">
        <f t="shared" si="53"/>
        <v>1.29E-2</v>
      </c>
      <c r="AU76" s="678">
        <f t="shared" si="54"/>
        <v>8.6E-3</v>
      </c>
      <c r="AV76" s="65">
        <f t="shared" si="21"/>
        <v>2.7000000000000003E-2</v>
      </c>
      <c r="AW76" s="65">
        <f>IF(Simulation!$D$42="Oui",Barèmes!$AY76,0)</f>
        <v>1.6200000000000003E-2</v>
      </c>
      <c r="AX76" s="65">
        <f>IF(Simulation!$D$42="Oui",Barèmes!$AZ76,0)</f>
        <v>1.0800000000000001E-2</v>
      </c>
      <c r="AY76" s="678">
        <f t="shared" si="55"/>
        <v>1.6200000000000003E-2</v>
      </c>
      <c r="AZ76" s="678">
        <f t="shared" si="56"/>
        <v>1.0800000000000001E-2</v>
      </c>
      <c r="BA76" s="69">
        <f>IF($F$1=1.8%,LOOKUP($A76,'AGIRC-ARRCO'!$B$6:$B$57,'AGIRC-ARRCO'!$C$6:$C$57),IF($F$1=1.5%,LOOKUP($A76,'AGIRC-ARRCO'!$B$6:$B$57,'AGIRC-ARRCO'!$D$6:$D$57),IF($F$1=1.3%,LOOKUP($A76,'AGIRC-ARRCO'!$B$6:$B$57,'AGIRC-ARRCO'!$E$6:$E$57),LOOKUP($A76,'AGIRC-ARRCO'!$B$6:$B$57,'AGIRC-ARRCO'!$F$6:$F$57))))</f>
        <v>21.147200000000002</v>
      </c>
      <c r="BB76" s="69"/>
      <c r="BC76" s="69"/>
      <c r="BD76" s="69">
        <f>IF($F$1=1.8%,LOOKUP($A76,'AGIRC-ARRCO'!$B$6:$B$57,'AGIRC-ARRCO'!$G$6:$G$57),IF($F$1=1.5%,LOOKUP($A76,'AGIRC-ARRCO'!$B$6:$B$57,'AGIRC-ARRCO'!$H$6:$H$57),IF($F$1=1.3%,LOOKUP($A76,'AGIRC-ARRCO'!$B$6:$B$57,'AGIRC-ARRCO'!$I$6:$I$57),LOOKUP($A76,'AGIRC-ARRCO'!$B$6:$B$57,'AGIRC-ARRCO'!$J$6:$J$57))))</f>
        <v>1.4505999999999999</v>
      </c>
      <c r="BE76" s="69"/>
      <c r="BF76" s="69"/>
      <c r="BG76" s="71">
        <f t="shared" si="30"/>
        <v>1.4326833333333335</v>
      </c>
      <c r="BH76" s="71"/>
      <c r="BI76" s="71"/>
      <c r="BJ76" s="18">
        <f t="shared" si="31"/>
        <v>2389.1429919773477</v>
      </c>
      <c r="BL76" s="15">
        <v>2028</v>
      </c>
      <c r="BM76" s="22">
        <f>BM75*IF(Simulation!$D$35="SMPT",1+$E76,IF(Simulation!$D$35="PRIX",1+$B76))</f>
        <v>12799.866101581712</v>
      </c>
      <c r="BN76" s="23">
        <f>BN75*IF(Simulation!$D$35="SMPT",1+$E76,IF(Simulation!$D$35="PRIX",1+$B76))</f>
        <v>16733.625792337803</v>
      </c>
      <c r="BO76" s="23">
        <f>BO75*IF(Simulation!$D$35="SMPT",1+$E76,IF(Simulation!$D$35="PRIX",1+$B76))</f>
        <v>25969.994809538068</v>
      </c>
      <c r="BP76" s="5"/>
      <c r="BQ76" s="146">
        <v>0</v>
      </c>
      <c r="BR76" s="146">
        <v>4.2999999999999997E-2</v>
      </c>
      <c r="BS76" s="146">
        <v>7.3999999999999996E-2</v>
      </c>
      <c r="BT76" s="146">
        <v>9.0999999999999998E-2</v>
      </c>
      <c r="BV76" s="15">
        <v>2028</v>
      </c>
      <c r="BW76" s="22">
        <f>BW75*IF(Simulation!$D$35="SMPT",1+$E76,IF(Simulation!$D$35="PRIX",1+$B76))</f>
        <v>19635.138216837302</v>
      </c>
      <c r="BX76" s="23">
        <f>BX75*IF(Simulation!$D$35="SMPT",1+$E76,IF(Simulation!$D$35="PRIX",1+$B76))</f>
        <v>25669.296692845928</v>
      </c>
      <c r="BY76" s="23">
        <f>BY75*IF(Simulation!$D$35="SMPT",1+$E76,IF(Simulation!$D$35="PRIX",1+$B76))</f>
        <v>39835.768414319522</v>
      </c>
      <c r="BZ76" s="5"/>
      <c r="CA76" s="146">
        <v>0</v>
      </c>
      <c r="CB76" s="146">
        <f t="shared" si="41"/>
        <v>4.2999999999999997E-2</v>
      </c>
      <c r="CC76" s="146">
        <f t="shared" si="42"/>
        <v>7.3999999999999996E-2</v>
      </c>
      <c r="CD76" s="146">
        <f t="shared" si="43"/>
        <v>9.0999999999999998E-2</v>
      </c>
      <c r="CE76" s="146">
        <f t="shared" si="43"/>
        <v>3.2000000000000001E-2</v>
      </c>
      <c r="CG76" s="15">
        <v>2028</v>
      </c>
      <c r="CH76" s="317">
        <f t="shared" si="57"/>
        <v>9.1999999999999998E-2</v>
      </c>
      <c r="CI76" s="311">
        <f t="shared" si="25"/>
        <v>6.8000000000000005E-2</v>
      </c>
      <c r="CJ76" s="311">
        <f t="shared" si="26"/>
        <v>5.0000000000000001E-3</v>
      </c>
      <c r="CK76" s="311">
        <f t="shared" si="26"/>
        <v>0.98250000000000004</v>
      </c>
      <c r="CL76" s="313">
        <f t="shared" si="27"/>
        <v>0</v>
      </c>
      <c r="CM76" s="313">
        <v>0</v>
      </c>
      <c r="CN76" s="313">
        <v>0</v>
      </c>
      <c r="CO76" s="318">
        <f t="shared" si="28"/>
        <v>2.4000000000000001E-4</v>
      </c>
    </row>
    <row r="77" spans="1:96" x14ac:dyDescent="0.25">
      <c r="A77" s="15">
        <v>2029</v>
      </c>
      <c r="B77" s="54">
        <f>IF($F$1=1.8%,LOOKUP($A77,Prix!B$6:B$127,Prix!$G$6:$G$127),IF($F$1=1.5%,LOOKUP($A77,Prix!B$6:B$127,Prix!$H$6:$H$127),IF($F$1=1.3%,LOOKUP($A77,Prix!B$6:B$127,Prix!$I$6:$I$127),LOOKUP($A77,Prix!B$6:B$127,Prix!$J$6:$J$127))))</f>
        <v>1.7500000000000002E-2</v>
      </c>
      <c r="C77" s="7">
        <f t="shared" si="33"/>
        <v>1.1292215987357335</v>
      </c>
      <c r="D77" s="5">
        <f>IF($F$1=1.8%,LOOKUP($A77,SMPT!$B$6:$B$127,SMPT!$C$6:$C$127),IF($F$1=1.5%,LOOKUP($A77,SMPT!$B$6:$B$127,SMPT!$D$6:$D$127),IF($F$1=1.3%,LOOKUP($A77,SMPT!$B$6:$B$127,SMPT!$E$6:$E$127),LOOKUP($A77,SMPT!$B$6:$B$127,SMPT!$F$6:$F$127))))</f>
        <v>47886.734162215158</v>
      </c>
      <c r="E77" s="17">
        <f t="shared" si="34"/>
        <v>2.7980250000000151E-2</v>
      </c>
      <c r="F77" s="60">
        <f>IF($F$1=1.8%,LOOKUP($A77,SMIC!$B$6:$B$125,SMIC!$C$6:$C$125),IF($F$1=1.5%,LOOKUP($A77,SMIC!$B$6:$B$125,SMIC!$D$6:$D$125),IF($F$1=1.3%,LOOKUP($A77,SMIC!$B$6:$B$125,SMIC!$E$6:$E$125),LOOKUP($A77,SMIC!$B$6:$B$125,SMIC!$F$6:$F$125))))</f>
        <v>21598.305312865221</v>
      </c>
      <c r="G77" s="153">
        <f t="shared" si="29"/>
        <v>1.3037838319713866</v>
      </c>
      <c r="H77" s="357">
        <f t="shared" si="23"/>
        <v>2.663147792706333E-2</v>
      </c>
      <c r="I77" s="15">
        <v>2029</v>
      </c>
      <c r="J77" s="13">
        <f t="shared" si="35"/>
        <v>24679.290444254286</v>
      </c>
      <c r="K77" s="65">
        <f t="shared" si="44"/>
        <v>0.17749999999999999</v>
      </c>
      <c r="L77" s="65">
        <f t="shared" si="36"/>
        <v>0.10450000000000001</v>
      </c>
      <c r="M77" s="65">
        <f t="shared" si="37"/>
        <v>7.2999999999999982E-2</v>
      </c>
      <c r="N77" s="65">
        <f t="shared" si="16"/>
        <v>2.3000000000000003E-2</v>
      </c>
      <c r="O77" s="65">
        <f>IF(Simulation!$D$43="Oui",$Q77,0)</f>
        <v>1.9000000000000003E-2</v>
      </c>
      <c r="P77" s="65">
        <f>IF(Simulation!$D$43="Oui",$R77,0)</f>
        <v>4.0000000000000001E-3</v>
      </c>
      <c r="Q77" s="678">
        <f t="shared" si="38"/>
        <v>1.9000000000000003E-2</v>
      </c>
      <c r="R77" s="678">
        <f t="shared" si="38"/>
        <v>4.0000000000000001E-3</v>
      </c>
      <c r="S77" s="56">
        <f>IF($F$1=1.8%,LOOKUP($A77,Sal_valid!$B$6:$B$127,Sal_valid!$C$6:$C$127),IF($F$1=1.5%,LOOKUP($A77,Sal_valid!$B$6:$B$127,Sal_valid!$D$6:$D$127),IF($F$1=1.3%,LOOKUP($A77,Sal_valid!$B$6:$B$127,Sal_valid!$E$6:$E$127),LOOKUP($A77,Sal_valid!$B$6:$B$127,Sal_valid!$F$6:$F$127))))</f>
        <v>1780.0169745961978</v>
      </c>
      <c r="T77" s="76">
        <f>IF(Simulation!$D$33="Prix",Revalo_RB!$D89,Barèmes!$E77)</f>
        <v>1.7500000000000002E-2</v>
      </c>
      <c r="U77" s="76">
        <f>IF(Simulation!$D$34="Prix",Revalo_RB!$H89,Barèmes!$E77)</f>
        <v>1.7500000000000002E-2</v>
      </c>
      <c r="V77" s="56">
        <f>IF($F$1=1.8%,LOOKUP($A77,PSS!$B$6:$B$127,PSS!$C$6:$C$127),IF($F$1=1.5%,LOOKUP($A77,PSS!$B$6:$B$127,PSS!$D$6:$D$127),IF($F$1=1.3%,LOOKUP($A77,PSS!$B$6:$B$127,PSS!$E$6:$E$127),LOOKUP($A77,PSS!$B$6:$B$127,PSS!$F$6:$F$127))))</f>
        <v>51348</v>
      </c>
      <c r="W77" s="56">
        <f>IF($F$1=1.8%,LOOKUP($A77,Smic_AVPF!$B$6:$B$104,Smic_AVPF!$C$6:$C$104),IF($F$1=1.5%,LOOKUP($A77,Smic_AVPF!$B$6:$B$104,Smic_AVPF!$D$6:$D$104),IF($F$1=1.3%,LOOKUP($A77,Smic_AVPF!$B$6:$B$104,Smic_AVPF!$E$6:$E$104),LOOKUP($A77,Smic_AVPF!$B$6:$B$104,Smic_AVPF!$F$6:$F$104))))</f>
        <v>23781.307374413998</v>
      </c>
      <c r="X77" s="56">
        <f>IF(Simulation!$D$32="SMPT",(1+$E77)*X76,IF(Simulation!$D$32="PRIX",Minima!$O26))</f>
        <v>8743.1815902173421</v>
      </c>
      <c r="Y77" s="56">
        <f>IF(Simulation!$D$32="SMPT",(1+$E77)*Y76,IF(Simulation!$D$32="PRIX",Minima!$P26))</f>
        <v>9553.904724031805</v>
      </c>
      <c r="Z77" s="56">
        <f t="shared" si="45"/>
        <v>16299.388481134582</v>
      </c>
      <c r="AA77" s="58"/>
      <c r="AB77" s="15">
        <v>2029</v>
      </c>
      <c r="AC77" s="64">
        <f t="shared" si="46"/>
        <v>6.2E-2</v>
      </c>
      <c r="AD77" s="65">
        <f t="shared" si="39"/>
        <v>3.7200000000000004E-2</v>
      </c>
      <c r="AE77" s="65">
        <f t="shared" si="47"/>
        <v>2.4799999999999996E-2</v>
      </c>
      <c r="AF77" s="65">
        <f t="shared" si="48"/>
        <v>0.17</v>
      </c>
      <c r="AG77" s="65">
        <f t="shared" si="40"/>
        <v>0.10200000000000001</v>
      </c>
      <c r="AH77" s="65">
        <f t="shared" si="49"/>
        <v>6.8000000000000005E-2</v>
      </c>
      <c r="AI77" s="66">
        <f t="shared" si="50"/>
        <v>1.27</v>
      </c>
      <c r="AJ77" s="66"/>
      <c r="AK77" s="66"/>
      <c r="AL77" s="65">
        <f t="shared" si="20"/>
        <v>3.4999999999999996E-3</v>
      </c>
      <c r="AM77" s="65">
        <f>IF(Simulation!$D$42="Oui",Barèmes!$AO77,0)</f>
        <v>2.0999999999999999E-3</v>
      </c>
      <c r="AN77" s="65">
        <f>IF(Simulation!$D$42="Oui",Barèmes!$AP77,0)</f>
        <v>1.3999999999999998E-3</v>
      </c>
      <c r="AO77" s="678">
        <f t="shared" si="51"/>
        <v>2.0999999999999999E-3</v>
      </c>
      <c r="AP77" s="678">
        <f t="shared" si="52"/>
        <v>1.3999999999999998E-3</v>
      </c>
      <c r="AQ77" s="65">
        <f t="shared" si="15"/>
        <v>2.1499999999999998E-2</v>
      </c>
      <c r="AR77" s="65">
        <f>IF(Simulation!$D$42="Oui",Barèmes!$AT77,0)</f>
        <v>1.29E-2</v>
      </c>
      <c r="AS77" s="65">
        <f>IF(Simulation!$D$42="Oui",Barèmes!$AU77,0)</f>
        <v>8.6E-3</v>
      </c>
      <c r="AT77" s="678">
        <f t="shared" si="53"/>
        <v>1.29E-2</v>
      </c>
      <c r="AU77" s="678">
        <f t="shared" si="54"/>
        <v>8.6E-3</v>
      </c>
      <c r="AV77" s="65">
        <f t="shared" si="21"/>
        <v>2.7000000000000003E-2</v>
      </c>
      <c r="AW77" s="65">
        <f>IF(Simulation!$D$42="Oui",Barèmes!$AY77,0)</f>
        <v>1.6200000000000003E-2</v>
      </c>
      <c r="AX77" s="65">
        <f>IF(Simulation!$D$42="Oui",Barèmes!$AZ77,0)</f>
        <v>1.0800000000000001E-2</v>
      </c>
      <c r="AY77" s="678">
        <f t="shared" si="55"/>
        <v>1.6200000000000003E-2</v>
      </c>
      <c r="AZ77" s="678">
        <f t="shared" si="56"/>
        <v>1.0800000000000001E-2</v>
      </c>
      <c r="BA77" s="69">
        <f>IF($F$1=1.8%,LOOKUP($A77,'AGIRC-ARRCO'!$B$6:$B$57,'AGIRC-ARRCO'!$C$6:$C$57),IF($F$1=1.5%,LOOKUP($A77,'AGIRC-ARRCO'!$B$6:$B$57,'AGIRC-ARRCO'!$D$6:$D$57),IF($F$1=1.3%,LOOKUP($A77,'AGIRC-ARRCO'!$B$6:$B$57,'AGIRC-ARRCO'!$E$6:$E$57),LOOKUP($A77,'AGIRC-ARRCO'!$B$6:$B$57,'AGIRC-ARRCO'!$F$6:$F$57))))</f>
        <v>21.7118</v>
      </c>
      <c r="BB77" s="69"/>
      <c r="BC77" s="69"/>
      <c r="BD77" s="69">
        <f>IF($F$1=1.8%,LOOKUP($A77,'AGIRC-ARRCO'!$B$6:$B$57,'AGIRC-ARRCO'!$G$6:$G$57),IF($F$1=1.5%,LOOKUP($A77,'AGIRC-ARRCO'!$B$6:$B$57,'AGIRC-ARRCO'!$H$6:$H$57),IF($F$1=1.3%,LOOKUP($A77,'AGIRC-ARRCO'!$B$6:$B$57,'AGIRC-ARRCO'!$I$6:$I$57),LOOKUP($A77,'AGIRC-ARRCO'!$B$6:$B$57,'AGIRC-ARRCO'!$J$6:$J$57))))</f>
        <v>1.4734</v>
      </c>
      <c r="BE77" s="69"/>
      <c r="BF77" s="69"/>
      <c r="BG77" s="71">
        <f t="shared" si="30"/>
        <v>1.4543999999999999</v>
      </c>
      <c r="BH77" s="71"/>
      <c r="BI77" s="71"/>
      <c r="BJ77" s="18">
        <f t="shared" si="31"/>
        <v>2426.6946672958943</v>
      </c>
      <c r="BL77" s="15">
        <v>2029</v>
      </c>
      <c r="BM77" s="22">
        <f>BM76*IF(Simulation!$D$35="SMPT",1+$E77,IF(Simulation!$D$35="PRIX",1+$B77))</f>
        <v>13023.863758359394</v>
      </c>
      <c r="BN77" s="23">
        <f>BN76*IF(Simulation!$D$35="SMPT",1+$E77,IF(Simulation!$D$35="PRIX",1+$B77))</f>
        <v>17026.464243703715</v>
      </c>
      <c r="BO77" s="23">
        <f>BO76*IF(Simulation!$D$35="SMPT",1+$E77,IF(Simulation!$D$35="PRIX",1+$B77))</f>
        <v>26424.469718704986</v>
      </c>
      <c r="BP77" s="5"/>
      <c r="BQ77" s="146">
        <v>0</v>
      </c>
      <c r="BR77" s="146">
        <v>4.2999999999999997E-2</v>
      </c>
      <c r="BS77" s="146">
        <v>7.3999999999999996E-2</v>
      </c>
      <c r="BT77" s="146">
        <v>9.0999999999999998E-2</v>
      </c>
      <c r="BV77" s="15">
        <v>2029</v>
      </c>
      <c r="BW77" s="22">
        <f>BW76*IF(Simulation!$D$35="SMPT",1+$E77,IF(Simulation!$D$35="PRIX",1+$B77))</f>
        <v>19978.753135631956</v>
      </c>
      <c r="BX77" s="23">
        <f>BX76*IF(Simulation!$D$35="SMPT",1+$E77,IF(Simulation!$D$35="PRIX",1+$B77))</f>
        <v>26118.509384970734</v>
      </c>
      <c r="BY77" s="23">
        <f>BY76*IF(Simulation!$D$35="SMPT",1+$E77,IF(Simulation!$D$35="PRIX",1+$B77))</f>
        <v>40532.894361570114</v>
      </c>
      <c r="BZ77" s="5"/>
      <c r="CA77" s="146">
        <v>0</v>
      </c>
      <c r="CB77" s="146">
        <f t="shared" si="41"/>
        <v>4.2999999999999997E-2</v>
      </c>
      <c r="CC77" s="146">
        <f t="shared" si="42"/>
        <v>7.3999999999999996E-2</v>
      </c>
      <c r="CD77" s="146">
        <f t="shared" si="43"/>
        <v>9.0999999999999998E-2</v>
      </c>
      <c r="CE77" s="146">
        <f t="shared" si="43"/>
        <v>3.2000000000000001E-2</v>
      </c>
      <c r="CG77" s="15">
        <v>2029</v>
      </c>
      <c r="CH77" s="317">
        <f t="shared" si="57"/>
        <v>9.1999999999999998E-2</v>
      </c>
      <c r="CI77" s="311">
        <f t="shared" si="25"/>
        <v>6.8000000000000005E-2</v>
      </c>
      <c r="CJ77" s="311">
        <f t="shared" si="26"/>
        <v>5.0000000000000001E-3</v>
      </c>
      <c r="CK77" s="311">
        <f t="shared" si="26"/>
        <v>0.98250000000000004</v>
      </c>
      <c r="CL77" s="313">
        <f t="shared" si="27"/>
        <v>0</v>
      </c>
      <c r="CM77" s="313">
        <v>0</v>
      </c>
      <c r="CN77" s="313">
        <v>0</v>
      </c>
      <c r="CO77" s="318">
        <f t="shared" si="28"/>
        <v>2.4000000000000001E-4</v>
      </c>
    </row>
    <row r="78" spans="1:96" x14ac:dyDescent="0.25">
      <c r="A78" s="15">
        <v>2030</v>
      </c>
      <c r="B78" s="54">
        <f>IF($F$1=1.8%,LOOKUP($A78,Prix!B$6:B$127,Prix!$G$6:$G$127),IF($F$1=1.5%,LOOKUP($A78,Prix!B$6:B$127,Prix!$H$6:$H$127),IF($F$1=1.3%,LOOKUP($A78,Prix!B$6:B$127,Prix!$I$6:$I$127),LOOKUP($A78,Prix!B$6:B$127,Prix!$J$6:$J$127))))</f>
        <v>1.7500000000000002E-2</v>
      </c>
      <c r="C78" s="7">
        <f t="shared" si="33"/>
        <v>1.1489829767136088</v>
      </c>
      <c r="D78" s="5">
        <f>IF($F$1=1.8%,LOOKUP($A78,SMPT!$B$6:$B$127,SMPT!$C$6:$C$127),IF($F$1=1.5%,LOOKUP($A78,SMPT!$B$6:$B$127,SMPT!$D$6:$D$127),IF($F$1=1.3%,LOOKUP($A78,SMPT!$B$6:$B$127,SMPT!$E$6:$E$127),LOOKUP($A78,SMPT!$B$6:$B$127,SMPT!$F$6:$F$127))))</f>
        <v>49255.85180696351</v>
      </c>
      <c r="E78" s="17">
        <f t="shared" si="34"/>
        <v>2.8590749999999998E-2</v>
      </c>
      <c r="F78" s="60">
        <f>IF($F$1=1.8%,LOOKUP($A78,SMIC!$B$6:$B$125,SMIC!$C$6:$C$125),IF($F$1=1.5%,LOOKUP($A78,SMIC!$B$6:$B$125,SMIC!$D$6:$D$125),IF($F$1=1.3%,LOOKUP($A78,SMIC!$B$6:$B$125,SMIC!$E$6:$E$125),LOOKUP($A78,SMIC!$B$6:$B$125,SMIC!$F$6:$F$125))))</f>
        <v>22135.320176587971</v>
      </c>
      <c r="G78" s="153">
        <f t="shared" si="29"/>
        <v>1.3410599895653226</v>
      </c>
      <c r="H78" s="357">
        <f t="shared" si="23"/>
        <v>2.7342837111474561E-2</v>
      </c>
      <c r="I78" s="15">
        <v>2030</v>
      </c>
      <c r="J78" s="13">
        <f t="shared" si="35"/>
        <v>25292.91015203761</v>
      </c>
      <c r="K78" s="65">
        <f t="shared" si="44"/>
        <v>0.17749999999999999</v>
      </c>
      <c r="L78" s="65">
        <f t="shared" si="36"/>
        <v>0.10450000000000001</v>
      </c>
      <c r="M78" s="65">
        <f t="shared" si="37"/>
        <v>7.2999999999999982E-2</v>
      </c>
      <c r="N78" s="65">
        <f t="shared" si="16"/>
        <v>2.3000000000000003E-2</v>
      </c>
      <c r="O78" s="65">
        <f>IF(Simulation!$D$43="Oui",$Q78,0)</f>
        <v>1.9000000000000003E-2</v>
      </c>
      <c r="P78" s="65">
        <f>IF(Simulation!$D$43="Oui",$R78,0)</f>
        <v>4.0000000000000001E-3</v>
      </c>
      <c r="Q78" s="678">
        <f t="shared" si="38"/>
        <v>1.9000000000000003E-2</v>
      </c>
      <c r="R78" s="678">
        <f t="shared" si="38"/>
        <v>4.0000000000000001E-3</v>
      </c>
      <c r="S78" s="56">
        <f>IF($F$1=1.8%,LOOKUP($A78,Sal_valid!$B$6:$B$127,Sal_valid!$C$6:$C$127),IF($F$1=1.5%,LOOKUP($A78,Sal_valid!$B$6:$B$127,Sal_valid!$D$6:$D$127),IF($F$1=1.3%,LOOKUP($A78,Sal_valid!$B$6:$B$127,Sal_valid!$E$6:$E$127),LOOKUP($A78,Sal_valid!$B$6:$B$127,Sal_valid!$F$6:$F$127))))</f>
        <v>1824.2748716483138</v>
      </c>
      <c r="T78" s="76">
        <f>IF(Simulation!$D$33="Prix",Revalo_RB!$D90,Barèmes!$E78)</f>
        <v>1.7500000000000002E-2</v>
      </c>
      <c r="U78" s="76">
        <f>IF(Simulation!$D$34="Prix",Revalo_RB!$H90,Barèmes!$E78)</f>
        <v>1.7500000000000002E-2</v>
      </c>
      <c r="V78" s="56">
        <f>IF($F$1=1.8%,LOOKUP($A78,PSS!$B$6:$B$127,PSS!$C$6:$C$127),IF($F$1=1.5%,LOOKUP($A78,PSS!$B$6:$B$127,PSS!$D$6:$D$127),IF($F$1=1.3%,LOOKUP($A78,PSS!$B$6:$B$127,PSS!$E$6:$E$127),LOOKUP($A78,PSS!$B$6:$B$127,PSS!$F$6:$F$127))))</f>
        <v>52752</v>
      </c>
      <c r="W78" s="56">
        <f>IF($F$1=1.8%,LOOKUP($A78,Smic_AVPF!$B$6:$B$104,Smic_AVPF!$C$6:$C$104),IF($F$1=1.5%,LOOKUP($A78,Smic_AVPF!$B$6:$B$104,Smic_AVPF!$D$6:$D$104),IF($F$1=1.3%,LOOKUP($A78,Smic_AVPF!$B$6:$B$104,Smic_AVPF!$E$6:$E$104),LOOKUP($A78,Smic_AVPF!$B$6:$B$104,Smic_AVPF!$F$6:$F$104))))</f>
        <v>24372.599855644588</v>
      </c>
      <c r="X78" s="56">
        <f>IF(Simulation!$D$32="SMPT",(1+$E78)*X77,IF(Simulation!$D$32="PRIX",Minima!$O27))</f>
        <v>8896.1872680461456</v>
      </c>
      <c r="Y78" s="56">
        <f>IF(Simulation!$D$32="SMPT",(1+$E78)*Y77,IF(Simulation!$D$32="PRIX",Minima!$P27))</f>
        <v>9721.0980567023616</v>
      </c>
      <c r="Z78" s="56">
        <f t="shared" si="45"/>
        <v>16584.627779554437</v>
      </c>
      <c r="AA78" s="58"/>
      <c r="AB78" s="15">
        <v>2030</v>
      </c>
      <c r="AC78" s="64">
        <f t="shared" si="46"/>
        <v>6.2E-2</v>
      </c>
      <c r="AD78" s="65">
        <f t="shared" si="39"/>
        <v>3.7200000000000004E-2</v>
      </c>
      <c r="AE78" s="65">
        <f t="shared" si="47"/>
        <v>2.4799999999999996E-2</v>
      </c>
      <c r="AF78" s="65">
        <f t="shared" si="48"/>
        <v>0.17</v>
      </c>
      <c r="AG78" s="65">
        <f t="shared" si="40"/>
        <v>0.10200000000000001</v>
      </c>
      <c r="AH78" s="65">
        <f t="shared" si="49"/>
        <v>6.8000000000000005E-2</v>
      </c>
      <c r="AI78" s="66">
        <f t="shared" si="50"/>
        <v>1.27</v>
      </c>
      <c r="AJ78" s="66"/>
      <c r="AK78" s="66"/>
      <c r="AL78" s="65">
        <f t="shared" si="20"/>
        <v>3.4999999999999996E-3</v>
      </c>
      <c r="AM78" s="65">
        <f>IF(Simulation!$D$42="Oui",Barèmes!$AO78,0)</f>
        <v>2.0999999999999999E-3</v>
      </c>
      <c r="AN78" s="65">
        <f>IF(Simulation!$D$42="Oui",Barèmes!$AP78,0)</f>
        <v>1.3999999999999998E-3</v>
      </c>
      <c r="AO78" s="678">
        <f t="shared" si="51"/>
        <v>2.0999999999999999E-3</v>
      </c>
      <c r="AP78" s="678">
        <f t="shared" si="52"/>
        <v>1.3999999999999998E-3</v>
      </c>
      <c r="AQ78" s="65">
        <f t="shared" si="15"/>
        <v>2.1499999999999998E-2</v>
      </c>
      <c r="AR78" s="65">
        <f>IF(Simulation!$D$42="Oui",Barèmes!$AT78,0)</f>
        <v>1.29E-2</v>
      </c>
      <c r="AS78" s="65">
        <f>IF(Simulation!$D$42="Oui",Barèmes!$AU78,0)</f>
        <v>8.6E-3</v>
      </c>
      <c r="AT78" s="678">
        <f t="shared" si="53"/>
        <v>1.29E-2</v>
      </c>
      <c r="AU78" s="678">
        <f t="shared" si="54"/>
        <v>8.6E-3</v>
      </c>
      <c r="AV78" s="65">
        <f t="shared" si="21"/>
        <v>2.7000000000000003E-2</v>
      </c>
      <c r="AW78" s="65">
        <f>IF(Simulation!$D$42="Oui",Barèmes!$AY78,0)</f>
        <v>1.6200000000000003E-2</v>
      </c>
      <c r="AX78" s="65">
        <f>IF(Simulation!$D$42="Oui",Barèmes!$AZ78,0)</f>
        <v>1.0800000000000001E-2</v>
      </c>
      <c r="AY78" s="678">
        <f t="shared" si="55"/>
        <v>1.6200000000000003E-2</v>
      </c>
      <c r="AZ78" s="678">
        <f t="shared" si="56"/>
        <v>1.0800000000000001E-2</v>
      </c>
      <c r="BA78" s="69">
        <f>IF($F$1=1.8%,LOOKUP($A78,'AGIRC-ARRCO'!$B$6:$B$57,'AGIRC-ARRCO'!$C$6:$C$57),IF($F$1=1.5%,LOOKUP($A78,'AGIRC-ARRCO'!$B$6:$B$57,'AGIRC-ARRCO'!$D$6:$D$57),IF($F$1=1.3%,LOOKUP($A78,'AGIRC-ARRCO'!$B$6:$B$57,'AGIRC-ARRCO'!$E$6:$E$57),LOOKUP($A78,'AGIRC-ARRCO'!$B$6:$B$57,'AGIRC-ARRCO'!$F$6:$F$57))))</f>
        <v>22.304500000000001</v>
      </c>
      <c r="BB78" s="69"/>
      <c r="BC78" s="69"/>
      <c r="BD78" s="69">
        <f>IF($F$1=1.8%,LOOKUP($A78,'AGIRC-ARRCO'!$B$6:$B$57,'AGIRC-ARRCO'!$G$6:$G$57),IF($F$1=1.5%,LOOKUP($A78,'AGIRC-ARRCO'!$B$6:$B$57,'AGIRC-ARRCO'!$H$6:$H$57),IF($F$1=1.3%,LOOKUP($A78,'AGIRC-ARRCO'!$B$6:$B$57,'AGIRC-ARRCO'!$I$6:$I$57),LOOKUP($A78,'AGIRC-ARRCO'!$B$6:$B$57,'AGIRC-ARRCO'!$J$6:$J$57))))</f>
        <v>1.4974000000000001</v>
      </c>
      <c r="BE78" s="69"/>
      <c r="BF78" s="69"/>
      <c r="BG78" s="71">
        <f t="shared" si="30"/>
        <v>1.4774</v>
      </c>
      <c r="BH78" s="71"/>
      <c r="BI78" s="71"/>
      <c r="BJ78" s="18">
        <f t="shared" si="31"/>
        <v>2466.222746578575</v>
      </c>
      <c r="BL78" s="15">
        <v>2030</v>
      </c>
      <c r="BM78" s="22">
        <f>BM77*IF(Simulation!$D$35="SMPT",1+$E78,IF(Simulation!$D$35="PRIX",1+$B78))</f>
        <v>13251.781374130684</v>
      </c>
      <c r="BN78" s="23">
        <f>BN77*IF(Simulation!$D$35="SMPT",1+$E78,IF(Simulation!$D$35="PRIX",1+$B78))</f>
        <v>17324.427367968532</v>
      </c>
      <c r="BO78" s="23">
        <f>BO77*IF(Simulation!$D$35="SMPT",1+$E78,IF(Simulation!$D$35="PRIX",1+$B78))</f>
        <v>26886.897938782324</v>
      </c>
      <c r="BP78" s="5"/>
      <c r="BQ78" s="146">
        <v>0</v>
      </c>
      <c r="BR78" s="146">
        <v>4.2999999999999997E-2</v>
      </c>
      <c r="BS78" s="146">
        <v>7.3999999999999996E-2</v>
      </c>
      <c r="BT78" s="146">
        <v>9.0999999999999998E-2</v>
      </c>
      <c r="BV78" s="15">
        <v>2030</v>
      </c>
      <c r="BW78" s="22">
        <f>BW77*IF(Simulation!$D$35="SMPT",1+$E78,IF(Simulation!$D$35="PRIX",1+$B78))</f>
        <v>20328.381315505518</v>
      </c>
      <c r="BX78" s="23">
        <f>BX77*IF(Simulation!$D$35="SMPT",1+$E78,IF(Simulation!$D$35="PRIX",1+$B78))</f>
        <v>26575.583299207723</v>
      </c>
      <c r="BY78" s="23">
        <f>BY77*IF(Simulation!$D$35="SMPT",1+$E78,IF(Simulation!$D$35="PRIX",1+$B78))</f>
        <v>41242.220012897596</v>
      </c>
      <c r="BZ78" s="5"/>
      <c r="CA78" s="146">
        <v>0</v>
      </c>
      <c r="CB78" s="146">
        <f t="shared" si="41"/>
        <v>4.2999999999999997E-2</v>
      </c>
      <c r="CC78" s="146">
        <f t="shared" si="42"/>
        <v>7.3999999999999996E-2</v>
      </c>
      <c r="CD78" s="146">
        <f t="shared" si="43"/>
        <v>9.0999999999999998E-2</v>
      </c>
      <c r="CE78" s="146">
        <f t="shared" si="43"/>
        <v>3.2000000000000001E-2</v>
      </c>
      <c r="CG78" s="15">
        <v>2030</v>
      </c>
      <c r="CH78" s="317">
        <f t="shared" si="57"/>
        <v>9.1999999999999998E-2</v>
      </c>
      <c r="CI78" s="311">
        <f t="shared" si="25"/>
        <v>6.8000000000000005E-2</v>
      </c>
      <c r="CJ78" s="311">
        <f t="shared" si="26"/>
        <v>5.0000000000000001E-3</v>
      </c>
      <c r="CK78" s="311">
        <f t="shared" si="26"/>
        <v>0.98250000000000004</v>
      </c>
      <c r="CL78" s="313">
        <f t="shared" si="27"/>
        <v>0</v>
      </c>
      <c r="CM78" s="313">
        <v>0</v>
      </c>
      <c r="CN78" s="313">
        <v>0</v>
      </c>
      <c r="CO78" s="318">
        <f t="shared" si="28"/>
        <v>2.4000000000000001E-4</v>
      </c>
    </row>
    <row r="79" spans="1:96" x14ac:dyDescent="0.25">
      <c r="A79" s="15">
        <v>2031</v>
      </c>
      <c r="B79" s="54">
        <f>IF($F$1=1.8%,LOOKUP($A79,Prix!B$6:B$127,Prix!$G$6:$G$127),IF($F$1=1.5%,LOOKUP($A79,Prix!B$6:B$127,Prix!$H$6:$H$127),IF($F$1=1.3%,LOOKUP($A79,Prix!B$6:B$127,Prix!$I$6:$I$127),LOOKUP($A79,Prix!B$6:B$127,Prix!$J$6:$J$127))))</f>
        <v>1.7500000000000002E-2</v>
      </c>
      <c r="C79" s="7">
        <f t="shared" si="33"/>
        <v>1.169090178806097</v>
      </c>
      <c r="D79" s="5">
        <f>IF($F$1=1.8%,LOOKUP($A79,SMPT!$B$6:$B$127,SMPT!$C$6:$C$127),IF($F$1=1.5%,LOOKUP($A79,SMPT!$B$6:$B$127,SMPT!$D$6:$D$127),IF($F$1=1.3%,LOOKUP($A79,SMPT!$B$6:$B$127,SMPT!$E$6:$E$127),LOOKUP($A79,SMPT!$B$6:$B$127,SMPT!$F$6:$F$127))))</f>
        <v>50739.290295833831</v>
      </c>
      <c r="E79" s="17">
        <f t="shared" si="34"/>
        <v>3.0116999999999949E-2</v>
      </c>
      <c r="F79" s="60">
        <f>IF($F$1=1.8%,LOOKUP($A79,SMIC!$B$6:$B$125,SMIC!$C$6:$C$125),IF($F$1=1.5%,LOOKUP($A79,SMIC!$B$6:$B$125,SMIC!$D$6:$D$125),IF($F$1=1.3%,LOOKUP($A79,SMIC!$B$6:$B$125,SMIC!$E$6:$E$125),LOOKUP($A79,SMIC!$B$6:$B$125,SMIC!$F$6:$F$125))))</f>
        <v>22711.646440365708</v>
      </c>
      <c r="G79" s="153">
        <f t="shared" si="29"/>
        <v>1.3814486932710615</v>
      </c>
      <c r="H79" s="357">
        <f t="shared" si="23"/>
        <v>2.7979981801637743E-2</v>
      </c>
      <c r="I79" s="15">
        <v>2031</v>
      </c>
      <c r="J79" s="13">
        <f t="shared" si="35"/>
        <v>25951.44900721114</v>
      </c>
      <c r="K79" s="65">
        <f t="shared" si="44"/>
        <v>0.17749999999999999</v>
      </c>
      <c r="L79" s="65">
        <f t="shared" si="36"/>
        <v>0.10450000000000001</v>
      </c>
      <c r="M79" s="65">
        <f t="shared" si="37"/>
        <v>7.2999999999999982E-2</v>
      </c>
      <c r="N79" s="65">
        <f t="shared" si="16"/>
        <v>2.3000000000000003E-2</v>
      </c>
      <c r="O79" s="65">
        <f>IF(Simulation!$D$43="Oui",$Q79,0)</f>
        <v>1.9000000000000003E-2</v>
      </c>
      <c r="P79" s="65">
        <f>IF(Simulation!$D$43="Oui",$R79,0)</f>
        <v>4.0000000000000001E-3</v>
      </c>
      <c r="Q79" s="678">
        <f t="shared" si="38"/>
        <v>1.9000000000000003E-2</v>
      </c>
      <c r="R79" s="678">
        <f t="shared" si="38"/>
        <v>4.0000000000000001E-3</v>
      </c>
      <c r="S79" s="56">
        <f>IF($F$1=1.8%,LOOKUP($A79,Sal_valid!$B$6:$B$127,Sal_valid!$C$6:$C$127),IF($F$1=1.5%,LOOKUP($A79,Sal_valid!$B$6:$B$127,Sal_valid!$D$6:$D$127),IF($F$1=1.3%,LOOKUP($A79,Sal_valid!$B$6:$B$127,Sal_valid!$E$6:$E$127),LOOKUP($A79,Sal_valid!$B$6:$B$127,Sal_valid!$F$6:$F$127))))</f>
        <v>1871.7726043439854</v>
      </c>
      <c r="T79" s="76">
        <f>IF(Simulation!$D$33="Prix",Revalo_RB!$D91,Barèmes!$E79)</f>
        <v>1.7500000000000002E-2</v>
      </c>
      <c r="U79" s="76">
        <f>IF(Simulation!$D$34="Prix",Revalo_RB!$H91,Barèmes!$E79)</f>
        <v>1.7500000000000002E-2</v>
      </c>
      <c r="V79" s="56">
        <f>IF($F$1=1.8%,LOOKUP($A79,PSS!$B$6:$B$127,PSS!$C$6:$C$127),IF($F$1=1.5%,LOOKUP($A79,PSS!$B$6:$B$127,PSS!$D$6:$D$127),IF($F$1=1.3%,LOOKUP($A79,PSS!$B$6:$B$127,PSS!$E$6:$E$127),LOOKUP($A79,PSS!$B$6:$B$127,PSS!$F$6:$F$127))))</f>
        <v>54228</v>
      </c>
      <c r="W79" s="56">
        <f>IF($F$1=1.8%,LOOKUP($A79,Smic_AVPF!$B$6:$B$104,Smic_AVPF!$C$6:$C$104),IF($F$1=1.5%,LOOKUP($A79,Smic_AVPF!$B$6:$B$104,Smic_AVPF!$D$6:$D$104),IF($F$1=1.3%,LOOKUP($A79,Smic_AVPF!$B$6:$B$104,Smic_AVPF!$E$6:$E$104),LOOKUP($A79,Smic_AVPF!$B$6:$B$104,Smic_AVPF!$F$6:$F$104))))</f>
        <v>25007.177051786079</v>
      </c>
      <c r="X79" s="56">
        <f>IF(Simulation!$D$32="SMPT",(1+$E79)*X78,IF(Simulation!$D$32="PRIX",Minima!$O28))</f>
        <v>9051.8705452369541</v>
      </c>
      <c r="Y79" s="56">
        <f>IF(Simulation!$D$32="SMPT",(1+$E79)*Y78,IF(Simulation!$D$32="PRIX",Minima!$P28))</f>
        <v>9891.2172726946537</v>
      </c>
      <c r="Z79" s="56">
        <f t="shared" si="45"/>
        <v>16874.858765696641</v>
      </c>
      <c r="AA79" s="58"/>
      <c r="AB79" s="15">
        <v>2031</v>
      </c>
      <c r="AC79" s="64">
        <f t="shared" si="46"/>
        <v>6.2E-2</v>
      </c>
      <c r="AD79" s="65">
        <f t="shared" si="39"/>
        <v>3.7200000000000004E-2</v>
      </c>
      <c r="AE79" s="65">
        <f t="shared" si="47"/>
        <v>2.4799999999999996E-2</v>
      </c>
      <c r="AF79" s="65">
        <f t="shared" si="48"/>
        <v>0.17</v>
      </c>
      <c r="AG79" s="65">
        <f t="shared" si="40"/>
        <v>0.10200000000000001</v>
      </c>
      <c r="AH79" s="65">
        <f t="shared" si="49"/>
        <v>6.8000000000000005E-2</v>
      </c>
      <c r="AI79" s="66">
        <f t="shared" si="50"/>
        <v>1.27</v>
      </c>
      <c r="AJ79" s="66"/>
      <c r="AK79" s="66"/>
      <c r="AL79" s="65">
        <f t="shared" si="20"/>
        <v>3.4999999999999996E-3</v>
      </c>
      <c r="AM79" s="65">
        <f>IF(Simulation!$D$42="Oui",Barèmes!$AO79,0)</f>
        <v>2.0999999999999999E-3</v>
      </c>
      <c r="AN79" s="65">
        <f>IF(Simulation!$D$42="Oui",Barèmes!$AP79,0)</f>
        <v>1.3999999999999998E-3</v>
      </c>
      <c r="AO79" s="678">
        <f t="shared" si="51"/>
        <v>2.0999999999999999E-3</v>
      </c>
      <c r="AP79" s="678">
        <f t="shared" si="52"/>
        <v>1.3999999999999998E-3</v>
      </c>
      <c r="AQ79" s="65">
        <f t="shared" si="15"/>
        <v>2.1499999999999998E-2</v>
      </c>
      <c r="AR79" s="65">
        <f>IF(Simulation!$D$42="Oui",Barèmes!$AT79,0)</f>
        <v>1.29E-2</v>
      </c>
      <c r="AS79" s="65">
        <f>IF(Simulation!$D$42="Oui",Barèmes!$AU79,0)</f>
        <v>8.6E-3</v>
      </c>
      <c r="AT79" s="678">
        <f t="shared" si="53"/>
        <v>1.29E-2</v>
      </c>
      <c r="AU79" s="678">
        <f t="shared" si="54"/>
        <v>8.6E-3</v>
      </c>
      <c r="AV79" s="65">
        <f t="shared" si="21"/>
        <v>2.7000000000000003E-2</v>
      </c>
      <c r="AW79" s="65">
        <f>IF(Simulation!$D$42="Oui",Barèmes!$AY79,0)</f>
        <v>1.6200000000000003E-2</v>
      </c>
      <c r="AX79" s="65">
        <f>IF(Simulation!$D$42="Oui",Barèmes!$AZ79,0)</f>
        <v>1.0800000000000001E-2</v>
      </c>
      <c r="AY79" s="678">
        <f t="shared" si="55"/>
        <v>1.6200000000000003E-2</v>
      </c>
      <c r="AZ79" s="678">
        <f t="shared" si="56"/>
        <v>1.0800000000000001E-2</v>
      </c>
      <c r="BA79" s="69">
        <f>IF($F$1=1.8%,LOOKUP($A79,'AGIRC-ARRCO'!$B$6:$B$57,'AGIRC-ARRCO'!$C$6:$C$57),IF($F$1=1.5%,LOOKUP($A79,'AGIRC-ARRCO'!$B$6:$B$57,'AGIRC-ARRCO'!$D$6:$D$57),IF($F$1=1.3%,LOOKUP($A79,'AGIRC-ARRCO'!$B$6:$B$57,'AGIRC-ARRCO'!$E$6:$E$57),LOOKUP($A79,'AGIRC-ARRCO'!$B$6:$B$57,'AGIRC-ARRCO'!$F$6:$F$57))))</f>
        <v>22.9268</v>
      </c>
      <c r="BB79" s="69"/>
      <c r="BC79" s="69"/>
      <c r="BD79" s="69">
        <f>IF($F$1=1.8%,LOOKUP($A79,'AGIRC-ARRCO'!$B$6:$B$57,'AGIRC-ARRCO'!$G$6:$G$57),IF($F$1=1.5%,LOOKUP($A79,'AGIRC-ARRCO'!$B$6:$B$57,'AGIRC-ARRCO'!$H$6:$H$57),IF($F$1=1.3%,LOOKUP($A79,'AGIRC-ARRCO'!$B$6:$B$57,'AGIRC-ARRCO'!$I$6:$I$57),LOOKUP($A79,'AGIRC-ARRCO'!$B$6:$B$57,'AGIRC-ARRCO'!$J$6:$J$57))))</f>
        <v>1.5242</v>
      </c>
      <c r="BE79" s="69"/>
      <c r="BF79" s="69"/>
      <c r="BG79" s="71">
        <f t="shared" si="30"/>
        <v>1.5018666666666667</v>
      </c>
      <c r="BH79" s="71"/>
      <c r="BI79" s="71"/>
      <c r="BJ79" s="18">
        <f t="shared" si="31"/>
        <v>2510.3624351109015</v>
      </c>
      <c r="BL79" s="15">
        <v>2031</v>
      </c>
      <c r="BM79" s="22">
        <f>BM78*IF(Simulation!$D$35="SMPT",1+$E79,IF(Simulation!$D$35="PRIX",1+$B79))</f>
        <v>13483.687548177972</v>
      </c>
      <c r="BN79" s="23">
        <f>BN78*IF(Simulation!$D$35="SMPT",1+$E79,IF(Simulation!$D$35="PRIX",1+$B79))</f>
        <v>17627.604846907983</v>
      </c>
      <c r="BO79" s="23">
        <f>BO78*IF(Simulation!$D$35="SMPT",1+$E79,IF(Simulation!$D$35="PRIX",1+$B79))</f>
        <v>27357.418652711018</v>
      </c>
      <c r="BP79" s="5"/>
      <c r="BQ79" s="146">
        <v>0</v>
      </c>
      <c r="BR79" s="146">
        <v>4.2999999999999997E-2</v>
      </c>
      <c r="BS79" s="146">
        <v>7.3999999999999996E-2</v>
      </c>
      <c r="BT79" s="146">
        <v>9.0999999999999998E-2</v>
      </c>
      <c r="BV79" s="15">
        <v>2031</v>
      </c>
      <c r="BW79" s="22">
        <f>BW78*IF(Simulation!$D$35="SMPT",1+$E79,IF(Simulation!$D$35="PRIX",1+$B79))</f>
        <v>20684.127988526867</v>
      </c>
      <c r="BX79" s="23">
        <f>BX78*IF(Simulation!$D$35="SMPT",1+$E79,IF(Simulation!$D$35="PRIX",1+$B79))</f>
        <v>27040.65600694386</v>
      </c>
      <c r="BY79" s="23">
        <f>BY78*IF(Simulation!$D$35="SMPT",1+$E79,IF(Simulation!$D$35="PRIX",1+$B79))</f>
        <v>41963.958863123305</v>
      </c>
      <c r="BZ79" s="5"/>
      <c r="CA79" s="146">
        <v>0</v>
      </c>
      <c r="CB79" s="146">
        <f t="shared" si="41"/>
        <v>4.2999999999999997E-2</v>
      </c>
      <c r="CC79" s="146">
        <f t="shared" si="42"/>
        <v>7.3999999999999996E-2</v>
      </c>
      <c r="CD79" s="146">
        <f t="shared" si="43"/>
        <v>9.0999999999999998E-2</v>
      </c>
      <c r="CE79" s="146">
        <f t="shared" si="43"/>
        <v>3.2000000000000001E-2</v>
      </c>
      <c r="CG79" s="15">
        <v>2031</v>
      </c>
      <c r="CH79" s="317">
        <f t="shared" si="57"/>
        <v>9.1999999999999998E-2</v>
      </c>
      <c r="CI79" s="311">
        <f t="shared" si="25"/>
        <v>6.8000000000000005E-2</v>
      </c>
      <c r="CJ79" s="311">
        <f t="shared" si="26"/>
        <v>5.0000000000000001E-3</v>
      </c>
      <c r="CK79" s="311">
        <f t="shared" si="26"/>
        <v>0.98250000000000004</v>
      </c>
      <c r="CL79" s="313">
        <f t="shared" si="27"/>
        <v>0</v>
      </c>
      <c r="CM79" s="313">
        <v>0</v>
      </c>
      <c r="CN79" s="313">
        <v>0</v>
      </c>
      <c r="CO79" s="318">
        <f t="shared" si="28"/>
        <v>2.4000000000000001E-4</v>
      </c>
    </row>
    <row r="80" spans="1:96" x14ac:dyDescent="0.25">
      <c r="A80" s="15">
        <v>2032</v>
      </c>
      <c r="B80" s="54">
        <f>IF($F$1=1.8%,LOOKUP($A80,Prix!B$6:B$127,Prix!$G$6:$G$127),IF($F$1=1.5%,LOOKUP($A80,Prix!B$6:B$127,Prix!$H$6:$H$127),IF($F$1=1.3%,LOOKUP($A80,Prix!B$6:B$127,Prix!$I$6:$I$127),LOOKUP($A80,Prix!B$6:B$127,Prix!$J$6:$J$127))))</f>
        <v>1.7500000000000002E-2</v>
      </c>
      <c r="C80" s="7">
        <f t="shared" si="33"/>
        <v>1.1895492569352037</v>
      </c>
      <c r="D80" s="5">
        <f>IF($F$1=1.8%,LOOKUP($A80,SMPT!$B$6:$B$127,SMPT!$C$6:$C$127),IF($F$1=1.5%,LOOKUP($A80,SMPT!$B$6:$B$127,SMPT!$D$6:$D$127),IF($F$1=1.3%,LOOKUP($A80,SMPT!$B$6:$B$127,SMPT!$E$6:$E$127),LOOKUP($A80,SMPT!$B$6:$B$127,SMPT!$F$6:$F$127))))</f>
        <v>52298.381838399066</v>
      </c>
      <c r="E80" s="17">
        <f t="shared" si="34"/>
        <v>3.0727500000000019E-2</v>
      </c>
      <c r="F80" s="60">
        <f>IF($F$1=1.8%,LOOKUP($A80,SMIC!$B$6:$B$125,SMIC!$C$6:$C$125),IF($F$1=1.5%,LOOKUP($A80,SMIC!$B$6:$B$125,SMIC!$D$6:$D$125),IF($F$1=1.3%,LOOKUP($A80,SMIC!$B$6:$B$125,SMIC!$E$6:$E$125),LOOKUP($A80,SMIC!$B$6:$B$125,SMIC!$F$6:$F$125))))</f>
        <v>23329.61330627323</v>
      </c>
      <c r="G80" s="153">
        <f t="shared" si="29"/>
        <v>1.423897157993548</v>
      </c>
      <c r="H80" s="357">
        <f t="shared" si="23"/>
        <v>2.9431290108431041E-2</v>
      </c>
      <c r="I80" s="15">
        <v>2032</v>
      </c>
      <c r="J80" s="13">
        <f t="shared" si="35"/>
        <v>26657.568471110601</v>
      </c>
      <c r="K80" s="65">
        <f t="shared" si="44"/>
        <v>0.17749999999999999</v>
      </c>
      <c r="L80" s="65">
        <f t="shared" si="36"/>
        <v>0.10450000000000001</v>
      </c>
      <c r="M80" s="65">
        <f t="shared" si="37"/>
        <v>7.2999999999999982E-2</v>
      </c>
      <c r="N80" s="65">
        <f t="shared" si="16"/>
        <v>2.3000000000000003E-2</v>
      </c>
      <c r="O80" s="65">
        <f>IF(Simulation!$D$43="Oui",$Q80,0)</f>
        <v>1.9000000000000003E-2</v>
      </c>
      <c r="P80" s="65">
        <f>IF(Simulation!$D$43="Oui",$R80,0)</f>
        <v>4.0000000000000001E-3</v>
      </c>
      <c r="Q80" s="678">
        <f t="shared" si="38"/>
        <v>1.9000000000000003E-2</v>
      </c>
      <c r="R80" s="678">
        <f t="shared" si="38"/>
        <v>4.0000000000000001E-3</v>
      </c>
      <c r="S80" s="56">
        <f>IF($F$1=1.8%,LOOKUP($A80,Sal_valid!$B$6:$B$127,Sal_valid!$C$6:$C$127),IF($F$1=1.5%,LOOKUP($A80,Sal_valid!$B$6:$B$127,Sal_valid!$D$6:$D$127),IF($F$1=1.3%,LOOKUP($A80,Sal_valid!$B$6:$B$127,Sal_valid!$E$6:$E$127),LOOKUP($A80,Sal_valid!$B$6:$B$127,Sal_valid!$F$6:$F$127))))</f>
        <v>1922.7021330787318</v>
      </c>
      <c r="T80" s="76">
        <f>IF(Simulation!$D$33="Prix",Revalo_RB!$D92,Barèmes!$E80)</f>
        <v>1.7500000000000002E-2</v>
      </c>
      <c r="U80" s="76">
        <f>IF(Simulation!$D$34="Prix",Revalo_RB!$H92,Barèmes!$E80)</f>
        <v>1.7500000000000002E-2</v>
      </c>
      <c r="V80" s="56">
        <f>IF($F$1=1.8%,LOOKUP($A80,PSS!$B$6:$B$127,PSS!$C$6:$C$127),IF($F$1=1.5%,LOOKUP($A80,PSS!$B$6:$B$127,PSS!$D$6:$D$127),IF($F$1=1.3%,LOOKUP($A80,PSS!$B$6:$B$127,PSS!$E$6:$E$127),LOOKUP($A80,PSS!$B$6:$B$127,PSS!$F$6:$F$127))))</f>
        <v>55824</v>
      </c>
      <c r="W80" s="56">
        <f>IF($F$1=1.8%,LOOKUP($A80,Smic_AVPF!$B$6:$B$104,Smic_AVPF!$C$6:$C$104),IF($F$1=1.5%,LOOKUP($A80,Smic_AVPF!$B$6:$B$104,Smic_AVPF!$D$6:$D$104),IF($F$1=1.3%,LOOKUP($A80,Smic_AVPF!$B$6:$B$104,Smic_AVPF!$E$6:$E$104),LOOKUP($A80,Smic_AVPF!$B$6:$B$104,Smic_AVPF!$F$6:$F$104))))</f>
        <v>25687.603583982393</v>
      </c>
      <c r="X80" s="56">
        <f>IF(Simulation!$D$32="SMPT",(1+$E80)*X79,IF(Simulation!$D$32="PRIX",Minima!$O29))</f>
        <v>9210.2782797786022</v>
      </c>
      <c r="Y80" s="56">
        <f>IF(Simulation!$D$32="SMPT",(1+$E80)*Y79,IF(Simulation!$D$32="PRIX",Minima!$P29))</f>
        <v>10064.313574966811</v>
      </c>
      <c r="Z80" s="56">
        <f t="shared" si="45"/>
        <v>17170.168794096335</v>
      </c>
      <c r="AA80" s="58"/>
      <c r="AB80" s="15">
        <v>2032</v>
      </c>
      <c r="AC80" s="64">
        <f t="shared" si="46"/>
        <v>6.2E-2</v>
      </c>
      <c r="AD80" s="65">
        <f t="shared" si="39"/>
        <v>3.7200000000000004E-2</v>
      </c>
      <c r="AE80" s="65">
        <f t="shared" si="47"/>
        <v>2.4799999999999996E-2</v>
      </c>
      <c r="AF80" s="65">
        <f t="shared" si="48"/>
        <v>0.17</v>
      </c>
      <c r="AG80" s="65">
        <f t="shared" si="40"/>
        <v>0.10200000000000001</v>
      </c>
      <c r="AH80" s="65">
        <f t="shared" si="49"/>
        <v>6.8000000000000005E-2</v>
      </c>
      <c r="AI80" s="66">
        <f t="shared" si="50"/>
        <v>1.27</v>
      </c>
      <c r="AJ80" s="66"/>
      <c r="AK80" s="66"/>
      <c r="AL80" s="65">
        <f t="shared" si="20"/>
        <v>3.4999999999999996E-3</v>
      </c>
      <c r="AM80" s="65">
        <f>IF(Simulation!$D$42="Oui",Barèmes!$AO80,0)</f>
        <v>2.0999999999999999E-3</v>
      </c>
      <c r="AN80" s="65">
        <f>IF(Simulation!$D$42="Oui",Barèmes!$AP80,0)</f>
        <v>1.3999999999999998E-3</v>
      </c>
      <c r="AO80" s="678">
        <f t="shared" si="51"/>
        <v>2.0999999999999999E-3</v>
      </c>
      <c r="AP80" s="678">
        <f t="shared" si="52"/>
        <v>1.3999999999999998E-3</v>
      </c>
      <c r="AQ80" s="65">
        <f t="shared" si="15"/>
        <v>2.1499999999999998E-2</v>
      </c>
      <c r="AR80" s="65">
        <f>IF(Simulation!$D$42="Oui",Barèmes!$AT80,0)</f>
        <v>1.29E-2</v>
      </c>
      <c r="AS80" s="65">
        <f>IF(Simulation!$D$42="Oui",Barèmes!$AU80,0)</f>
        <v>8.6E-3</v>
      </c>
      <c r="AT80" s="678">
        <f t="shared" si="53"/>
        <v>1.29E-2</v>
      </c>
      <c r="AU80" s="678">
        <f t="shared" si="54"/>
        <v>8.6E-3</v>
      </c>
      <c r="AV80" s="65">
        <f t="shared" si="21"/>
        <v>2.7000000000000003E-2</v>
      </c>
      <c r="AW80" s="65">
        <f>IF(Simulation!$D$42="Oui",Barèmes!$AY80,0)</f>
        <v>1.6200000000000003E-2</v>
      </c>
      <c r="AX80" s="65">
        <f>IF(Simulation!$D$42="Oui",Barèmes!$AZ80,0)</f>
        <v>1.0800000000000001E-2</v>
      </c>
      <c r="AY80" s="678">
        <f t="shared" si="55"/>
        <v>1.6200000000000003E-2</v>
      </c>
      <c r="AZ80" s="678">
        <f t="shared" si="56"/>
        <v>1.0800000000000001E-2</v>
      </c>
      <c r="BA80" s="69">
        <f>IF($F$1=1.8%,LOOKUP($A80,'AGIRC-ARRCO'!$B$6:$B$57,'AGIRC-ARRCO'!$C$6:$C$57),IF($F$1=1.5%,LOOKUP($A80,'AGIRC-ARRCO'!$B$6:$B$57,'AGIRC-ARRCO'!$D$6:$D$57),IF($F$1=1.3%,LOOKUP($A80,'AGIRC-ARRCO'!$B$6:$B$57,'AGIRC-ARRCO'!$E$6:$E$57),LOOKUP($A80,'AGIRC-ARRCO'!$B$6:$B$57,'AGIRC-ARRCO'!$F$6:$F$57))))</f>
        <v>23.603100000000001</v>
      </c>
      <c r="BB80" s="69"/>
      <c r="BC80" s="69"/>
      <c r="BD80" s="69">
        <f>IF($F$1=1.8%,LOOKUP($A80,'AGIRC-ARRCO'!$B$6:$B$57,'AGIRC-ARRCO'!$G$6:$G$57),IF($F$1=1.5%,LOOKUP($A80,'AGIRC-ARRCO'!$B$6:$B$57,'AGIRC-ARRCO'!$H$6:$H$57),IF($F$1=1.3%,LOOKUP($A80,'AGIRC-ARRCO'!$B$6:$B$57,'AGIRC-ARRCO'!$I$6:$I$57),LOOKUP($A80,'AGIRC-ARRCO'!$B$6:$B$57,'AGIRC-ARRCO'!$J$6:$J$57))))</f>
        <v>1.5526</v>
      </c>
      <c r="BE80" s="69"/>
      <c r="BF80" s="69"/>
      <c r="BG80" s="71">
        <f t="shared" si="30"/>
        <v>1.5289333333333333</v>
      </c>
      <c r="BH80" s="71"/>
      <c r="BI80" s="71"/>
      <c r="BJ80" s="18">
        <f t="shared" si="31"/>
        <v>2557.1373289287399</v>
      </c>
      <c r="BL80" s="15">
        <v>2032</v>
      </c>
      <c r="BM80" s="22">
        <f>BM79*IF(Simulation!$D$35="SMPT",1+$E80,IF(Simulation!$D$35="PRIX",1+$B80))</f>
        <v>13719.652080271087</v>
      </c>
      <c r="BN80" s="23">
        <f>BN79*IF(Simulation!$D$35="SMPT",1+$E80,IF(Simulation!$D$35="PRIX",1+$B80))</f>
        <v>17936.087931728875</v>
      </c>
      <c r="BO80" s="23">
        <f>BO79*IF(Simulation!$D$35="SMPT",1+$E80,IF(Simulation!$D$35="PRIX",1+$B80))</f>
        <v>27836.173479133464</v>
      </c>
      <c r="BP80" s="5"/>
      <c r="BQ80" s="146">
        <v>0</v>
      </c>
      <c r="BR80" s="146">
        <v>4.2999999999999997E-2</v>
      </c>
      <c r="BS80" s="146">
        <v>7.3999999999999996E-2</v>
      </c>
      <c r="BT80" s="146">
        <v>9.0999999999999998E-2</v>
      </c>
      <c r="BV80" s="15">
        <v>2032</v>
      </c>
      <c r="BW80" s="22">
        <f>BW79*IF(Simulation!$D$35="SMPT",1+$E80,IF(Simulation!$D$35="PRIX",1+$B80))</f>
        <v>21046.10022832609</v>
      </c>
      <c r="BX80" s="23">
        <f>BX79*IF(Simulation!$D$35="SMPT",1+$E80,IF(Simulation!$D$35="PRIX",1+$B80))</f>
        <v>27513.867487065381</v>
      </c>
      <c r="BY80" s="23">
        <f>BY79*IF(Simulation!$D$35="SMPT",1+$E80,IF(Simulation!$D$35="PRIX",1+$B80))</f>
        <v>42698.328143227969</v>
      </c>
      <c r="BZ80" s="5"/>
      <c r="CA80" s="146">
        <v>0</v>
      </c>
      <c r="CB80" s="146">
        <f t="shared" si="41"/>
        <v>4.2999999999999997E-2</v>
      </c>
      <c r="CC80" s="146">
        <f t="shared" si="42"/>
        <v>7.3999999999999996E-2</v>
      </c>
      <c r="CD80" s="146">
        <f t="shared" si="43"/>
        <v>9.0999999999999998E-2</v>
      </c>
      <c r="CE80" s="146">
        <f t="shared" si="43"/>
        <v>3.2000000000000001E-2</v>
      </c>
      <c r="CG80" s="15">
        <v>2032</v>
      </c>
      <c r="CH80" s="317">
        <f t="shared" si="57"/>
        <v>9.1999999999999998E-2</v>
      </c>
      <c r="CI80" s="311">
        <f t="shared" si="25"/>
        <v>6.8000000000000005E-2</v>
      </c>
      <c r="CJ80" s="311">
        <f t="shared" si="26"/>
        <v>5.0000000000000001E-3</v>
      </c>
      <c r="CK80" s="311">
        <f t="shared" si="26"/>
        <v>0.98250000000000004</v>
      </c>
      <c r="CL80" s="313">
        <f t="shared" si="27"/>
        <v>0</v>
      </c>
      <c r="CM80" s="313">
        <v>0</v>
      </c>
      <c r="CN80" s="313">
        <v>0</v>
      </c>
      <c r="CO80" s="318">
        <f t="shared" si="28"/>
        <v>2.4000000000000001E-4</v>
      </c>
    </row>
    <row r="81" spans="1:93" x14ac:dyDescent="0.25">
      <c r="A81" s="15">
        <v>2033</v>
      </c>
      <c r="B81" s="54">
        <f>IF($F$1=1.8%,LOOKUP($A81,Prix!B$6:B$127,Prix!$G$6:$G$127),IF($F$1=1.5%,LOOKUP($A81,Prix!B$6:B$127,Prix!$H$6:$H$127),IF($F$1=1.3%,LOOKUP($A81,Prix!B$6:B$127,Prix!$I$6:$I$127),LOOKUP($A81,Prix!B$6:B$127,Prix!$J$6:$J$127))))</f>
        <v>1.7500000000000002E-2</v>
      </c>
      <c r="C81" s="7">
        <f t="shared" si="33"/>
        <v>1.2103663689315698</v>
      </c>
      <c r="D81" s="5">
        <f>IF($F$1=1.8%,LOOKUP($A81,SMPT!$B$6:$B$127,SMPT!$C$6:$C$127),IF($F$1=1.5%,LOOKUP($A81,SMPT!$B$6:$B$127,SMPT!$D$6:$D$127),IF($F$1=1.3%,LOOKUP($A81,SMPT!$B$6:$B$127,SMPT!$E$6:$E$127),LOOKUP($A81,SMPT!$B$6:$B$127,SMPT!$F$6:$F$127))))</f>
        <v>53905.380366338475</v>
      </c>
      <c r="E81" s="17">
        <f t="shared" si="34"/>
        <v>3.0727500000000019E-2</v>
      </c>
      <c r="F81" s="60">
        <f>IF($F$1=1.8%,LOOKUP($A81,SMIC!$B$6:$B$125,SMIC!$C$6:$C$125),IF($F$1=1.5%,LOOKUP($A81,SMIC!$B$6:$B$125,SMIC!$D$6:$D$125),IF($F$1=1.3%,LOOKUP($A81,SMIC!$B$6:$B$125,SMIC!$E$6:$E$125),LOOKUP($A81,SMIC!$B$6:$B$125,SMIC!$F$6:$F$125))))</f>
        <v>23991.754391131879</v>
      </c>
      <c r="G81" s="153">
        <f t="shared" si="29"/>
        <v>1.4676499579157947</v>
      </c>
      <c r="H81" s="357">
        <f t="shared" si="23"/>
        <v>3.0309544282029144E-2</v>
      </c>
      <c r="I81" s="15">
        <v>2033</v>
      </c>
      <c r="J81" s="13">
        <f t="shared" si="35"/>
        <v>27414.163579457665</v>
      </c>
      <c r="K81" s="65">
        <f t="shared" si="44"/>
        <v>0.17749999999999999</v>
      </c>
      <c r="L81" s="65">
        <f t="shared" si="36"/>
        <v>0.10450000000000001</v>
      </c>
      <c r="M81" s="65">
        <f t="shared" si="37"/>
        <v>7.2999999999999982E-2</v>
      </c>
      <c r="N81" s="65">
        <f t="shared" si="16"/>
        <v>2.3000000000000003E-2</v>
      </c>
      <c r="O81" s="65">
        <f>IF(Simulation!$D$43="Oui",$Q81,0)</f>
        <v>1.9000000000000003E-2</v>
      </c>
      <c r="P81" s="65">
        <f>IF(Simulation!$D$43="Oui",$R81,0)</f>
        <v>4.0000000000000001E-3</v>
      </c>
      <c r="Q81" s="678">
        <f t="shared" si="38"/>
        <v>1.9000000000000003E-2</v>
      </c>
      <c r="R81" s="678">
        <f t="shared" si="38"/>
        <v>4.0000000000000001E-3</v>
      </c>
      <c r="S81" s="56">
        <f>IF($F$1=1.8%,LOOKUP($A81,Sal_valid!$B$6:$B$127,Sal_valid!$C$6:$C$127),IF($F$1=1.5%,LOOKUP($A81,Sal_valid!$B$6:$B$127,Sal_valid!$D$6:$D$127),IF($F$1=1.3%,LOOKUP($A81,Sal_valid!$B$6:$B$127,Sal_valid!$E$6:$E$127),LOOKUP($A81,Sal_valid!$B$6:$B$127,Sal_valid!$F$6:$F$127))))</f>
        <v>1977.2722650197729</v>
      </c>
      <c r="T81" s="76">
        <f>IF(Simulation!$D$33="Prix",Revalo_RB!$D93,Barèmes!$E81)</f>
        <v>1.7500000000000002E-2</v>
      </c>
      <c r="U81" s="76">
        <f>IF(Simulation!$D$34="Prix",Revalo_RB!$H93,Barèmes!$E81)</f>
        <v>1.7500000000000002E-2</v>
      </c>
      <c r="V81" s="56">
        <f>IF($F$1=1.8%,LOOKUP($A81,PSS!$B$6:$B$127,PSS!$C$6:$C$127),IF($F$1=1.5%,LOOKUP($A81,PSS!$B$6:$B$127,PSS!$D$6:$D$127),IF($F$1=1.3%,LOOKUP($A81,PSS!$B$6:$B$127,PSS!$E$6:$E$127),LOOKUP($A81,PSS!$B$6:$B$127,PSS!$F$6:$F$127))))</f>
        <v>57516</v>
      </c>
      <c r="W81" s="56">
        <f>IF($F$1=1.8%,LOOKUP($A81,Smic_AVPF!$B$6:$B$104,Smic_AVPF!$C$6:$C$104),IF($F$1=1.5%,LOOKUP($A81,Smic_AVPF!$B$6:$B$104,Smic_AVPF!$D$6:$D$104),IF($F$1=1.3%,LOOKUP($A81,Smic_AVPF!$B$6:$B$104,Smic_AVPF!$E$6:$E$104),LOOKUP($A81,Smic_AVPF!$B$6:$B$104,Smic_AVPF!$F$6:$F$104))))</f>
        <v>26416.669148902984</v>
      </c>
      <c r="X81" s="56">
        <f>IF(Simulation!$D$32="SMPT",(1+$E81)*X80,IF(Simulation!$D$32="PRIX",Minima!$O30))</f>
        <v>9371.4581496747287</v>
      </c>
      <c r="Y81" s="56">
        <f>IF(Simulation!$D$32="SMPT",(1+$E81)*Y80,IF(Simulation!$D$32="PRIX",Minima!$P30))</f>
        <v>10240.439062528731</v>
      </c>
      <c r="Z81" s="56">
        <f t="shared" si="45"/>
        <v>17470.646747993022</v>
      </c>
      <c r="AA81" s="58"/>
      <c r="AB81" s="15">
        <v>2033</v>
      </c>
      <c r="AC81" s="64">
        <f t="shared" si="46"/>
        <v>6.2E-2</v>
      </c>
      <c r="AD81" s="65">
        <f t="shared" si="39"/>
        <v>3.7200000000000004E-2</v>
      </c>
      <c r="AE81" s="65">
        <f t="shared" si="47"/>
        <v>2.4799999999999996E-2</v>
      </c>
      <c r="AF81" s="65">
        <f t="shared" si="48"/>
        <v>0.17</v>
      </c>
      <c r="AG81" s="65">
        <f t="shared" si="40"/>
        <v>0.10200000000000001</v>
      </c>
      <c r="AH81" s="65">
        <f t="shared" si="49"/>
        <v>6.8000000000000005E-2</v>
      </c>
      <c r="AI81" s="66">
        <f t="shared" si="50"/>
        <v>1.27</v>
      </c>
      <c r="AJ81" s="66"/>
      <c r="AK81" s="66"/>
      <c r="AL81" s="65">
        <f t="shared" si="20"/>
        <v>3.4999999999999996E-3</v>
      </c>
      <c r="AM81" s="65">
        <f>IF(Simulation!$D$42="Oui",Barèmes!$AO81,0)</f>
        <v>2.0999999999999999E-3</v>
      </c>
      <c r="AN81" s="65">
        <f>IF(Simulation!$D$42="Oui",Barèmes!$AP81,0)</f>
        <v>1.3999999999999998E-3</v>
      </c>
      <c r="AO81" s="678">
        <f t="shared" si="51"/>
        <v>2.0999999999999999E-3</v>
      </c>
      <c r="AP81" s="678">
        <f t="shared" si="52"/>
        <v>1.3999999999999998E-3</v>
      </c>
      <c r="AQ81" s="65">
        <f t="shared" si="15"/>
        <v>2.1499999999999998E-2</v>
      </c>
      <c r="AR81" s="65">
        <f>IF(Simulation!$D$42="Oui",Barèmes!$AT81,0)</f>
        <v>1.29E-2</v>
      </c>
      <c r="AS81" s="65">
        <f>IF(Simulation!$D$42="Oui",Barèmes!$AU81,0)</f>
        <v>8.6E-3</v>
      </c>
      <c r="AT81" s="678">
        <f t="shared" si="53"/>
        <v>1.29E-2</v>
      </c>
      <c r="AU81" s="678">
        <f t="shared" si="54"/>
        <v>8.6E-3</v>
      </c>
      <c r="AV81" s="65">
        <f t="shared" si="21"/>
        <v>2.7000000000000003E-2</v>
      </c>
      <c r="AW81" s="65">
        <f>IF(Simulation!$D$42="Oui",Barèmes!$AY81,0)</f>
        <v>1.6200000000000003E-2</v>
      </c>
      <c r="AX81" s="65">
        <f>IF(Simulation!$D$42="Oui",Barèmes!$AZ81,0)</f>
        <v>1.0800000000000001E-2</v>
      </c>
      <c r="AY81" s="678">
        <f t="shared" si="55"/>
        <v>1.6200000000000003E-2</v>
      </c>
      <c r="AZ81" s="678">
        <f t="shared" si="56"/>
        <v>1.0800000000000001E-2</v>
      </c>
      <c r="BA81" s="69">
        <f>IF($F$1=1.8%,LOOKUP($A81,'AGIRC-ARRCO'!$B$6:$B$57,'AGIRC-ARRCO'!$C$6:$C$57),IF($F$1=1.5%,LOOKUP($A81,'AGIRC-ARRCO'!$B$6:$B$57,'AGIRC-ARRCO'!$D$6:$D$57),IF($F$1=1.3%,LOOKUP($A81,'AGIRC-ARRCO'!$B$6:$B$57,'AGIRC-ARRCO'!$E$6:$E$57),LOOKUP($A81,'AGIRC-ARRCO'!$B$6:$B$57,'AGIRC-ARRCO'!$F$6:$F$57))))</f>
        <v>24.318300000000001</v>
      </c>
      <c r="BB81" s="69"/>
      <c r="BC81" s="69"/>
      <c r="BD81" s="69">
        <f>IF($F$1=1.8%,LOOKUP($A81,'AGIRC-ARRCO'!$B$6:$B$57,'AGIRC-ARRCO'!$G$6:$G$57),IF($F$1=1.5%,LOOKUP($A81,'AGIRC-ARRCO'!$B$6:$B$57,'AGIRC-ARRCO'!$H$6:$H$57),IF($F$1=1.3%,LOOKUP($A81,'AGIRC-ARRCO'!$B$6:$B$57,'AGIRC-ARRCO'!$I$6:$I$57),LOOKUP($A81,'AGIRC-ARRCO'!$B$6:$B$57,'AGIRC-ARRCO'!$J$6:$J$57))))</f>
        <v>1.5817000000000001</v>
      </c>
      <c r="BE81" s="69"/>
      <c r="BF81" s="69"/>
      <c r="BG81" s="71">
        <f t="shared" si="30"/>
        <v>1.55745</v>
      </c>
      <c r="BH81" s="71"/>
      <c r="BI81" s="71"/>
      <c r="BJ81" s="18">
        <f t="shared" si="31"/>
        <v>2605.0651250589899</v>
      </c>
      <c r="BL81" s="15">
        <v>2033</v>
      </c>
      <c r="BM81" s="22">
        <f>BM80*IF(Simulation!$D$35="SMPT",1+$E81,IF(Simulation!$D$35="PRIX",1+$B81))</f>
        <v>13959.745991675833</v>
      </c>
      <c r="BN81" s="23">
        <f>BN80*IF(Simulation!$D$35="SMPT",1+$E81,IF(Simulation!$D$35="PRIX",1+$B81))</f>
        <v>18249.969470534132</v>
      </c>
      <c r="BO81" s="23">
        <f>BO80*IF(Simulation!$D$35="SMPT",1+$E81,IF(Simulation!$D$35="PRIX",1+$B81))</f>
        <v>28323.306515018303</v>
      </c>
      <c r="BP81" s="5"/>
      <c r="BQ81" s="146">
        <v>0</v>
      </c>
      <c r="BR81" s="146">
        <v>4.2999999999999997E-2</v>
      </c>
      <c r="BS81" s="146">
        <v>7.3999999999999996E-2</v>
      </c>
      <c r="BT81" s="146">
        <v>9.0999999999999998E-2</v>
      </c>
      <c r="BV81" s="15">
        <v>2033</v>
      </c>
      <c r="BW81" s="22">
        <f>BW80*IF(Simulation!$D$35="SMPT",1+$E81,IF(Simulation!$D$35="PRIX",1+$B81))</f>
        <v>21414.406982321798</v>
      </c>
      <c r="BX81" s="23">
        <f>BX80*IF(Simulation!$D$35="SMPT",1+$E81,IF(Simulation!$D$35="PRIX",1+$B81))</f>
        <v>27995.360168089028</v>
      </c>
      <c r="BY81" s="23">
        <f>BY80*IF(Simulation!$D$35="SMPT",1+$E81,IF(Simulation!$D$35="PRIX",1+$B81))</f>
        <v>43445.548885734461</v>
      </c>
      <c r="BZ81" s="5"/>
      <c r="CA81" s="146">
        <v>0</v>
      </c>
      <c r="CB81" s="146">
        <f t="shared" si="41"/>
        <v>4.2999999999999997E-2</v>
      </c>
      <c r="CC81" s="146">
        <f t="shared" si="42"/>
        <v>7.3999999999999996E-2</v>
      </c>
      <c r="CD81" s="146">
        <f t="shared" si="43"/>
        <v>9.0999999999999998E-2</v>
      </c>
      <c r="CE81" s="146">
        <f t="shared" si="43"/>
        <v>3.2000000000000001E-2</v>
      </c>
      <c r="CG81" s="15">
        <v>2033</v>
      </c>
      <c r="CH81" s="317">
        <f t="shared" si="57"/>
        <v>9.1999999999999998E-2</v>
      </c>
      <c r="CI81" s="311">
        <f t="shared" si="25"/>
        <v>6.8000000000000005E-2</v>
      </c>
      <c r="CJ81" s="311">
        <f t="shared" si="26"/>
        <v>5.0000000000000001E-3</v>
      </c>
      <c r="CK81" s="311">
        <f t="shared" si="26"/>
        <v>0.98250000000000004</v>
      </c>
      <c r="CL81" s="313">
        <f t="shared" si="27"/>
        <v>0</v>
      </c>
      <c r="CM81" s="313">
        <v>0</v>
      </c>
      <c r="CN81" s="313">
        <v>0</v>
      </c>
      <c r="CO81" s="318">
        <f t="shared" si="28"/>
        <v>2.4000000000000001E-4</v>
      </c>
    </row>
    <row r="82" spans="1:93" x14ac:dyDescent="0.25">
      <c r="A82" s="15">
        <v>2034</v>
      </c>
      <c r="B82" s="54">
        <f>IF($F$1=1.8%,LOOKUP($A82,Prix!B$6:B$127,Prix!$G$6:$G$127),IF($F$1=1.5%,LOOKUP($A82,Prix!B$6:B$127,Prix!$H$6:$H$127),IF($F$1=1.3%,LOOKUP($A82,Prix!B$6:B$127,Prix!$I$6:$I$127),LOOKUP($A82,Prix!B$6:B$127,Prix!$J$6:$J$127))))</f>
        <v>1.7500000000000002E-2</v>
      </c>
      <c r="C82" s="7">
        <f t="shared" si="33"/>
        <v>1.2315477803878723</v>
      </c>
      <c r="D82" s="5">
        <f>IF($F$1=1.8%,LOOKUP($A82,SMPT!$B$6:$B$127,SMPT!$C$6:$C$127),IF($F$1=1.5%,LOOKUP($A82,SMPT!$B$6:$B$127,SMPT!$D$6:$D$127),IF($F$1=1.3%,LOOKUP($A82,SMPT!$B$6:$B$127,SMPT!$E$6:$E$127),LOOKUP($A82,SMPT!$B$6:$B$127,SMPT!$F$6:$F$127))))</f>
        <v>55561.75794154514</v>
      </c>
      <c r="E82" s="17">
        <f t="shared" si="34"/>
        <v>3.0727500000000019E-2</v>
      </c>
      <c r="F82" s="60">
        <f>IF($F$1=1.8%,LOOKUP($A82,SMIC!$B$6:$B$125,SMIC!$C$6:$C$125),IF($F$1=1.5%,LOOKUP($A82,SMIC!$B$6:$B$125,SMIC!$D$6:$D$125),IF($F$1=1.3%,LOOKUP($A82,SMIC!$B$6:$B$125,SMIC!$E$6:$E$125),LOOKUP($A82,SMIC!$B$6:$B$125,SMIC!$F$6:$F$125))))</f>
        <v>24700.824694223185</v>
      </c>
      <c r="G82" s="153">
        <f t="shared" si="29"/>
        <v>1.5127471719976524</v>
      </c>
      <c r="H82" s="357">
        <f t="shared" si="23"/>
        <v>3.0252451491758814E-2</v>
      </c>
      <c r="I82" s="15">
        <v>2034</v>
      </c>
      <c r="J82" s="13">
        <f t="shared" si="35"/>
        <v>28224.382330507644</v>
      </c>
      <c r="K82" s="65">
        <f t="shared" si="44"/>
        <v>0.17749999999999999</v>
      </c>
      <c r="L82" s="65">
        <f t="shared" si="36"/>
        <v>0.10450000000000001</v>
      </c>
      <c r="M82" s="65">
        <f t="shared" si="37"/>
        <v>7.2999999999999982E-2</v>
      </c>
      <c r="N82" s="65">
        <f t="shared" si="16"/>
        <v>2.3000000000000003E-2</v>
      </c>
      <c r="O82" s="65">
        <f>IF(Simulation!$D$43="Oui",$Q82,0)</f>
        <v>1.9000000000000003E-2</v>
      </c>
      <c r="P82" s="65">
        <f>IF(Simulation!$D$43="Oui",$R82,0)</f>
        <v>4.0000000000000001E-3</v>
      </c>
      <c r="Q82" s="678">
        <f t="shared" si="38"/>
        <v>1.9000000000000003E-2</v>
      </c>
      <c r="R82" s="678">
        <f t="shared" si="38"/>
        <v>4.0000000000000001E-3</v>
      </c>
      <c r="S82" s="56">
        <f>IF($F$1=1.8%,LOOKUP($A82,Sal_valid!$B$6:$B$127,Sal_valid!$C$6:$C$127),IF($F$1=1.5%,LOOKUP($A82,Sal_valid!$B$6:$B$127,Sal_valid!$D$6:$D$127),IF($F$1=1.3%,LOOKUP($A82,Sal_valid!$B$6:$B$127,Sal_valid!$E$6:$E$127),LOOKUP($A82,Sal_valid!$B$6:$B$127,Sal_valid!$F$6:$F$127))))</f>
        <v>2035.7100524943658</v>
      </c>
      <c r="T82" s="76">
        <f>IF(Simulation!$D$33="Prix",Revalo_RB!$D94,Barèmes!$E82)</f>
        <v>1.7500000000000002E-2</v>
      </c>
      <c r="U82" s="76">
        <f>IF(Simulation!$D$34="Prix",Revalo_RB!$H94,Barèmes!$E82)</f>
        <v>1.7500000000000002E-2</v>
      </c>
      <c r="V82" s="56">
        <f>IF($F$1=1.8%,LOOKUP($A82,PSS!$B$6:$B$127,PSS!$C$6:$C$127),IF($F$1=1.5%,LOOKUP($A82,PSS!$B$6:$B$127,PSS!$D$6:$D$127),IF($F$1=1.3%,LOOKUP($A82,PSS!$B$6:$B$127,PSS!$E$6:$E$127),LOOKUP($A82,PSS!$B$6:$B$127,PSS!$F$6:$F$127))))</f>
        <v>59256</v>
      </c>
      <c r="W82" s="56">
        <f>IF($F$1=1.8%,LOOKUP($A82,Smic_AVPF!$B$6:$B$104,Smic_AVPF!$C$6:$C$104),IF($F$1=1.5%,LOOKUP($A82,Smic_AVPF!$B$6:$B$104,Smic_AVPF!$D$6:$D$104),IF($F$1=1.3%,LOOKUP($A82,Smic_AVPF!$B$6:$B$104,Smic_AVPF!$E$6:$E$104),LOOKUP($A82,Smic_AVPF!$B$6:$B$104,Smic_AVPF!$F$6:$F$104))))</f>
        <v>27197.407201431528</v>
      </c>
      <c r="X82" s="56">
        <f>IF(Simulation!$D$32="SMPT",(1+$E82)*X81,IF(Simulation!$D$32="PRIX",Minima!$O31))</f>
        <v>9535.4586672940368</v>
      </c>
      <c r="Y82" s="56">
        <f>IF(Simulation!$D$32="SMPT",(1+$E82)*Y81,IF(Simulation!$D$32="PRIX",Minima!$P31))</f>
        <v>10419.646746122984</v>
      </c>
      <c r="Z82" s="56">
        <f t="shared" si="45"/>
        <v>17776.383066082901</v>
      </c>
      <c r="AA82" s="58"/>
      <c r="AB82" s="15">
        <v>2034</v>
      </c>
      <c r="AC82" s="64">
        <f t="shared" si="46"/>
        <v>6.2E-2</v>
      </c>
      <c r="AD82" s="65">
        <f t="shared" si="39"/>
        <v>3.7200000000000004E-2</v>
      </c>
      <c r="AE82" s="65">
        <f t="shared" si="47"/>
        <v>2.4799999999999996E-2</v>
      </c>
      <c r="AF82" s="65">
        <f t="shared" si="48"/>
        <v>0.17</v>
      </c>
      <c r="AG82" s="65">
        <f t="shared" si="40"/>
        <v>0.10200000000000001</v>
      </c>
      <c r="AH82" s="65">
        <f t="shared" si="49"/>
        <v>6.8000000000000005E-2</v>
      </c>
      <c r="AI82" s="66">
        <f t="shared" si="50"/>
        <v>1.27</v>
      </c>
      <c r="AJ82" s="66"/>
      <c r="AK82" s="66"/>
      <c r="AL82" s="65">
        <f t="shared" si="20"/>
        <v>3.4999999999999996E-3</v>
      </c>
      <c r="AM82" s="65">
        <f>IF(Simulation!$D$42="Oui",Barèmes!$AO82,0)</f>
        <v>2.0999999999999999E-3</v>
      </c>
      <c r="AN82" s="65">
        <f>IF(Simulation!$D$42="Oui",Barèmes!$AP82,0)</f>
        <v>1.3999999999999998E-3</v>
      </c>
      <c r="AO82" s="678">
        <f t="shared" si="51"/>
        <v>2.0999999999999999E-3</v>
      </c>
      <c r="AP82" s="678">
        <f t="shared" si="52"/>
        <v>1.3999999999999998E-3</v>
      </c>
      <c r="AQ82" s="65">
        <f t="shared" si="15"/>
        <v>2.1499999999999998E-2</v>
      </c>
      <c r="AR82" s="65">
        <f>IF(Simulation!$D$42="Oui",Barèmes!$AT82,0)</f>
        <v>1.29E-2</v>
      </c>
      <c r="AS82" s="65">
        <f>IF(Simulation!$D$42="Oui",Barèmes!$AU82,0)</f>
        <v>8.6E-3</v>
      </c>
      <c r="AT82" s="678">
        <f t="shared" si="53"/>
        <v>1.29E-2</v>
      </c>
      <c r="AU82" s="678">
        <f t="shared" si="54"/>
        <v>8.6E-3</v>
      </c>
      <c r="AV82" s="65">
        <f t="shared" si="21"/>
        <v>2.7000000000000003E-2</v>
      </c>
      <c r="AW82" s="65">
        <f>IF(Simulation!$D$42="Oui",Barèmes!$AY82,0)</f>
        <v>1.6200000000000003E-2</v>
      </c>
      <c r="AX82" s="65">
        <f>IF(Simulation!$D$42="Oui",Barèmes!$AZ82,0)</f>
        <v>1.0800000000000001E-2</v>
      </c>
      <c r="AY82" s="678">
        <f t="shared" si="55"/>
        <v>1.6200000000000003E-2</v>
      </c>
      <c r="AZ82" s="678">
        <f t="shared" si="56"/>
        <v>1.0800000000000001E-2</v>
      </c>
      <c r="BA82" s="69">
        <f>IF($F$1=1.8%,LOOKUP($A82,'AGIRC-ARRCO'!$B$6:$B$57,'AGIRC-ARRCO'!$C$6:$C$57),IF($F$1=1.5%,LOOKUP($A82,'AGIRC-ARRCO'!$B$6:$B$57,'AGIRC-ARRCO'!$D$6:$D$57),IF($F$1=1.3%,LOOKUP($A82,'AGIRC-ARRCO'!$B$6:$B$57,'AGIRC-ARRCO'!$E$6:$E$57),LOOKUP($A82,'AGIRC-ARRCO'!$B$6:$B$57,'AGIRC-ARRCO'!$F$6:$F$57))))</f>
        <v>24.773099999999999</v>
      </c>
      <c r="BB82" s="69"/>
      <c r="BC82" s="69"/>
      <c r="BD82" s="69">
        <f>IF($F$1=1.8%,LOOKUP($A82,'AGIRC-ARRCO'!$B$6:$B$57,'AGIRC-ARRCO'!$G$6:$G$57),IF($F$1=1.5%,LOOKUP($A82,'AGIRC-ARRCO'!$B$6:$B$57,'AGIRC-ARRCO'!$H$6:$H$57),IF($F$1=1.3%,LOOKUP($A82,'AGIRC-ARRCO'!$B$6:$B$57,'AGIRC-ARRCO'!$I$6:$I$57),LOOKUP($A82,'AGIRC-ARRCO'!$B$6:$B$57,'AGIRC-ARRCO'!$J$6:$J$57))))</f>
        <v>1.6113999999999999</v>
      </c>
      <c r="BE82" s="69"/>
      <c r="BF82" s="69"/>
      <c r="BG82" s="71">
        <f t="shared" si="30"/>
        <v>1.5866500000000001</v>
      </c>
      <c r="BH82" s="71"/>
      <c r="BI82" s="71"/>
      <c r="BJ82" s="18">
        <f t="shared" si="31"/>
        <v>2653.981123171307</v>
      </c>
      <c r="BL82" s="15">
        <v>2034</v>
      </c>
      <c r="BM82" s="22">
        <f>BM81*IF(Simulation!$D$35="SMPT",1+$E82,IF(Simulation!$D$35="PRIX",1+$B82))</f>
        <v>14204.041546530161</v>
      </c>
      <c r="BN82" s="23">
        <f>BN81*IF(Simulation!$D$35="SMPT",1+$E82,IF(Simulation!$D$35="PRIX",1+$B82))</f>
        <v>18569.34393626848</v>
      </c>
      <c r="BO82" s="23">
        <f>BO81*IF(Simulation!$D$35="SMPT",1+$E82,IF(Simulation!$D$35="PRIX",1+$B82))</f>
        <v>28818.964379031124</v>
      </c>
      <c r="BP82" s="5"/>
      <c r="BQ82" s="146">
        <v>0</v>
      </c>
      <c r="BR82" s="146">
        <v>4.2999999999999997E-2</v>
      </c>
      <c r="BS82" s="146">
        <v>7.3999999999999996E-2</v>
      </c>
      <c r="BT82" s="146">
        <v>9.0999999999999998E-2</v>
      </c>
      <c r="BV82" s="15">
        <v>2034</v>
      </c>
      <c r="BW82" s="22">
        <f>BW81*IF(Simulation!$D$35="SMPT",1+$E82,IF(Simulation!$D$35="PRIX",1+$B82))</f>
        <v>21789.15910451243</v>
      </c>
      <c r="BX82" s="23">
        <f>BX81*IF(Simulation!$D$35="SMPT",1+$E82,IF(Simulation!$D$35="PRIX",1+$B82))</f>
        <v>28485.278971030588</v>
      </c>
      <c r="BY82" s="23">
        <f>BY81*IF(Simulation!$D$35="SMPT",1+$E82,IF(Simulation!$D$35="PRIX",1+$B82))</f>
        <v>44205.845991234819</v>
      </c>
      <c r="BZ82" s="5"/>
      <c r="CA82" s="146">
        <v>0</v>
      </c>
      <c r="CB82" s="146">
        <f t="shared" si="41"/>
        <v>4.2999999999999997E-2</v>
      </c>
      <c r="CC82" s="146">
        <f t="shared" si="42"/>
        <v>7.3999999999999996E-2</v>
      </c>
      <c r="CD82" s="146">
        <f t="shared" si="43"/>
        <v>9.0999999999999998E-2</v>
      </c>
      <c r="CE82" s="146">
        <f t="shared" si="43"/>
        <v>3.2000000000000001E-2</v>
      </c>
      <c r="CG82" s="15">
        <v>2034</v>
      </c>
      <c r="CH82" s="317">
        <f t="shared" si="57"/>
        <v>9.1999999999999998E-2</v>
      </c>
      <c r="CI82" s="311">
        <f t="shared" si="25"/>
        <v>6.8000000000000005E-2</v>
      </c>
      <c r="CJ82" s="311">
        <f t="shared" si="26"/>
        <v>5.0000000000000001E-3</v>
      </c>
      <c r="CK82" s="311">
        <f t="shared" si="26"/>
        <v>0.98250000000000004</v>
      </c>
      <c r="CL82" s="313">
        <f t="shared" si="27"/>
        <v>0</v>
      </c>
      <c r="CM82" s="313">
        <v>0</v>
      </c>
      <c r="CN82" s="313">
        <v>0</v>
      </c>
      <c r="CO82" s="318">
        <f t="shared" si="28"/>
        <v>2.4000000000000001E-4</v>
      </c>
    </row>
    <row r="83" spans="1:93" x14ac:dyDescent="0.25">
      <c r="A83" s="15">
        <v>2035</v>
      </c>
      <c r="B83" s="54">
        <f>IF($F$1=1.8%,LOOKUP($A83,Prix!B$6:B$127,Prix!$G$6:$G$127),IF($F$1=1.5%,LOOKUP($A83,Prix!B$6:B$127,Prix!$H$6:$H$127),IF($F$1=1.3%,LOOKUP($A83,Prix!B$6:B$127,Prix!$I$6:$I$127),LOOKUP($A83,Prix!B$6:B$127,Prix!$J$6:$J$127))))</f>
        <v>1.7500000000000002E-2</v>
      </c>
      <c r="C83" s="7">
        <f t="shared" si="33"/>
        <v>1.2530998665446602</v>
      </c>
      <c r="D83" s="5">
        <f>IF($F$1=1.8%,LOOKUP($A83,SMPT!$B$6:$B$127,SMPT!$C$6:$C$127),IF($F$1=1.5%,LOOKUP($A83,SMPT!$B$6:$B$127,SMPT!$D$6:$D$127),IF($F$1=1.3%,LOOKUP($A83,SMPT!$B$6:$B$127,SMPT!$E$6:$E$127),LOOKUP($A83,SMPT!$B$6:$B$127,SMPT!$F$6:$F$127))))</f>
        <v>57269.031858693968</v>
      </c>
      <c r="E83" s="17">
        <f t="shared" si="34"/>
        <v>3.0727500000000019E-2</v>
      </c>
      <c r="F83" s="60">
        <f>IF($F$1=1.8%,LOOKUP($A83,SMIC!$B$6:$B$125,SMIC!$C$6:$C$125),IF($F$1=1.5%,LOOKUP($A83,SMIC!$B$6:$B$125,SMIC!$D$6:$D$125),IF($F$1=1.3%,LOOKUP($A83,SMIC!$B$6:$B$125,SMIC!$E$6:$E$125),LOOKUP($A83,SMIC!$B$6:$B$125,SMIC!$F$6:$F$125))))</f>
        <v>25459.819285014932</v>
      </c>
      <c r="G83" s="153">
        <f t="shared" si="29"/>
        <v>1.5592301107252102</v>
      </c>
      <c r="H83" s="357">
        <f t="shared" si="23"/>
        <v>3.037667071688932E-2</v>
      </c>
      <c r="I83" s="15">
        <v>2035</v>
      </c>
      <c r="J83" s="13">
        <f t="shared" si="35"/>
        <v>29091.647038568321</v>
      </c>
      <c r="K83" s="65">
        <f t="shared" si="44"/>
        <v>0.17749999999999999</v>
      </c>
      <c r="L83" s="65">
        <f t="shared" si="36"/>
        <v>0.10450000000000001</v>
      </c>
      <c r="M83" s="65">
        <f t="shared" si="37"/>
        <v>7.2999999999999982E-2</v>
      </c>
      <c r="N83" s="65">
        <f t="shared" si="16"/>
        <v>2.3000000000000003E-2</v>
      </c>
      <c r="O83" s="65">
        <f>IF(Simulation!$D$43="Oui",$Q83,0)</f>
        <v>1.9000000000000003E-2</v>
      </c>
      <c r="P83" s="65">
        <f>IF(Simulation!$D$43="Oui",$R83,0)</f>
        <v>4.0000000000000001E-3</v>
      </c>
      <c r="Q83" s="678">
        <f t="shared" si="38"/>
        <v>1.9000000000000003E-2</v>
      </c>
      <c r="R83" s="678">
        <f t="shared" si="38"/>
        <v>4.0000000000000001E-3</v>
      </c>
      <c r="S83" s="56">
        <f>IF($F$1=1.8%,LOOKUP($A83,Sal_valid!$B$6:$B$127,Sal_valid!$C$6:$C$127),IF($F$1=1.5%,LOOKUP($A83,Sal_valid!$B$6:$B$127,Sal_valid!$D$6:$D$127),IF($F$1=1.3%,LOOKUP($A83,Sal_valid!$B$6:$B$127,Sal_valid!$E$6:$E$127),LOOKUP($A83,Sal_valid!$B$6:$B$127,Sal_valid!$F$6:$F$127))))</f>
        <v>2098.2623331323862</v>
      </c>
      <c r="T83" s="76">
        <f>IF(Simulation!$D$33="Prix",Revalo_RB!$D95,Barèmes!$E83)</f>
        <v>1.7500000000000002E-2</v>
      </c>
      <c r="U83" s="76">
        <f>IF(Simulation!$D$34="Prix",Revalo_RB!$H95,Barèmes!$E83)</f>
        <v>1.7500000000000002E-2</v>
      </c>
      <c r="V83" s="56">
        <f>IF($F$1=1.8%,LOOKUP($A83,PSS!$B$6:$B$127,PSS!$C$6:$C$127),IF($F$1=1.5%,LOOKUP($A83,PSS!$B$6:$B$127,PSS!$D$6:$D$127),IF($F$1=1.3%,LOOKUP($A83,PSS!$B$6:$B$127,PSS!$E$6:$E$127),LOOKUP($A83,PSS!$B$6:$B$127,PSS!$F$6:$F$127))))</f>
        <v>61056</v>
      </c>
      <c r="W83" s="56">
        <f>IF($F$1=1.8%,LOOKUP($A83,Smic_AVPF!$B$6:$B$104,Smic_AVPF!$C$6:$C$104),IF($F$1=1.5%,LOOKUP($A83,Smic_AVPF!$B$6:$B$104,Smic_AVPF!$D$6:$D$104),IF($F$1=1.3%,LOOKUP($A83,Smic_AVPF!$B$6:$B$104,Smic_AVPF!$E$6:$E$104),LOOKUP($A83,Smic_AVPF!$B$6:$B$104,Smic_AVPF!$F$6:$F$104))))</f>
        <v>28033.115531213512</v>
      </c>
      <c r="X83" s="56">
        <f>IF(Simulation!$D$32="SMPT",(1+$E83)*X82,IF(Simulation!$D$32="PRIX",Minima!$O32))</f>
        <v>9702.3291939716837</v>
      </c>
      <c r="Y83" s="56">
        <f>IF(Simulation!$D$32="SMPT",(1+$E83)*Y82,IF(Simulation!$D$32="PRIX",Minima!$P32))</f>
        <v>10601.990564180138</v>
      </c>
      <c r="Z83" s="56">
        <f t="shared" si="45"/>
        <v>18087.469769739353</v>
      </c>
      <c r="AA83" s="58"/>
      <c r="AB83" s="15">
        <v>2035</v>
      </c>
      <c r="AC83" s="64">
        <f t="shared" si="46"/>
        <v>6.2E-2</v>
      </c>
      <c r="AD83" s="65">
        <f t="shared" si="39"/>
        <v>3.7200000000000004E-2</v>
      </c>
      <c r="AE83" s="65">
        <f t="shared" si="47"/>
        <v>2.4799999999999996E-2</v>
      </c>
      <c r="AF83" s="65">
        <f t="shared" si="48"/>
        <v>0.17</v>
      </c>
      <c r="AG83" s="65">
        <f t="shared" si="40"/>
        <v>0.10200000000000001</v>
      </c>
      <c r="AH83" s="65">
        <f t="shared" si="49"/>
        <v>6.8000000000000005E-2</v>
      </c>
      <c r="AI83" s="66">
        <f t="shared" si="50"/>
        <v>1.27</v>
      </c>
      <c r="AJ83" s="66"/>
      <c r="AK83" s="66"/>
      <c r="AL83" s="65">
        <f t="shared" si="20"/>
        <v>3.4999999999999996E-3</v>
      </c>
      <c r="AM83" s="65">
        <f>IF(Simulation!$D$42="Oui",Barèmes!$AO83,0)</f>
        <v>2.0999999999999999E-3</v>
      </c>
      <c r="AN83" s="65">
        <f>IF(Simulation!$D$42="Oui",Barèmes!$AP83,0)</f>
        <v>1.3999999999999998E-3</v>
      </c>
      <c r="AO83" s="678">
        <f t="shared" si="51"/>
        <v>2.0999999999999999E-3</v>
      </c>
      <c r="AP83" s="678">
        <f t="shared" si="52"/>
        <v>1.3999999999999998E-3</v>
      </c>
      <c r="AQ83" s="65">
        <f t="shared" si="15"/>
        <v>2.1499999999999998E-2</v>
      </c>
      <c r="AR83" s="65">
        <f>IF(Simulation!$D$42="Oui",Barèmes!$AT83,0)</f>
        <v>1.29E-2</v>
      </c>
      <c r="AS83" s="65">
        <f>IF(Simulation!$D$42="Oui",Barèmes!$AU83,0)</f>
        <v>8.6E-3</v>
      </c>
      <c r="AT83" s="678">
        <f t="shared" si="53"/>
        <v>1.29E-2</v>
      </c>
      <c r="AU83" s="678">
        <f t="shared" si="54"/>
        <v>8.6E-3</v>
      </c>
      <c r="AV83" s="65">
        <f t="shared" si="21"/>
        <v>2.7000000000000003E-2</v>
      </c>
      <c r="AW83" s="65">
        <f>IF(Simulation!$D$42="Oui",Barèmes!$AY83,0)</f>
        <v>1.6200000000000003E-2</v>
      </c>
      <c r="AX83" s="65">
        <f>IF(Simulation!$D$42="Oui",Barèmes!$AZ83,0)</f>
        <v>1.0800000000000001E-2</v>
      </c>
      <c r="AY83" s="678">
        <f t="shared" si="55"/>
        <v>1.6200000000000003E-2</v>
      </c>
      <c r="AZ83" s="678">
        <f t="shared" si="56"/>
        <v>1.0800000000000001E-2</v>
      </c>
      <c r="BA83" s="69">
        <f>IF($F$1=1.8%,LOOKUP($A83,'AGIRC-ARRCO'!$B$6:$B$57,'AGIRC-ARRCO'!$C$6:$C$57),IF($F$1=1.5%,LOOKUP($A83,'AGIRC-ARRCO'!$B$6:$B$57,'AGIRC-ARRCO'!$D$6:$D$57),IF($F$1=1.3%,LOOKUP($A83,'AGIRC-ARRCO'!$B$6:$B$57,'AGIRC-ARRCO'!$E$6:$E$57),LOOKUP($A83,'AGIRC-ARRCO'!$B$6:$B$57,'AGIRC-ARRCO'!$F$6:$F$57))))</f>
        <v>25.238800000000001</v>
      </c>
      <c r="BB83" s="69"/>
      <c r="BC83" s="69"/>
      <c r="BD83" s="69">
        <f>IF($F$1=1.8%,LOOKUP($A83,'AGIRC-ARRCO'!$B$6:$B$57,'AGIRC-ARRCO'!$G$6:$G$57),IF($F$1=1.5%,LOOKUP($A83,'AGIRC-ARRCO'!$B$6:$B$57,'AGIRC-ARRCO'!$H$6:$H$57),IF($F$1=1.3%,LOOKUP($A83,'AGIRC-ARRCO'!$B$6:$B$57,'AGIRC-ARRCO'!$I$6:$I$57),LOOKUP($A83,'AGIRC-ARRCO'!$B$6:$B$57,'AGIRC-ARRCO'!$J$6:$J$57))))</f>
        <v>1.6415999999999999</v>
      </c>
      <c r="BE83" s="69"/>
      <c r="BF83" s="69"/>
      <c r="BG83" s="71">
        <f t="shared" si="30"/>
        <v>1.6164333333333332</v>
      </c>
      <c r="BH83" s="71"/>
      <c r="BI83" s="71"/>
      <c r="BJ83" s="18">
        <f t="shared" si="31"/>
        <v>2703.7206229353469</v>
      </c>
      <c r="BL83" s="15">
        <v>2035</v>
      </c>
      <c r="BM83" s="22">
        <f>BM82*IF(Simulation!$D$35="SMPT",1+$E83,IF(Simulation!$D$35="PRIX",1+$B83))</f>
        <v>14452.612273594441</v>
      </c>
      <c r="BN83" s="23">
        <f>BN82*IF(Simulation!$D$35="SMPT",1+$E83,IF(Simulation!$D$35="PRIX",1+$B83))</f>
        <v>18894.307455153179</v>
      </c>
      <c r="BO83" s="23">
        <f>BO82*IF(Simulation!$D$35="SMPT",1+$E83,IF(Simulation!$D$35="PRIX",1+$B83))</f>
        <v>29323.296255664172</v>
      </c>
      <c r="BP83" s="5"/>
      <c r="BQ83" s="146">
        <v>0</v>
      </c>
      <c r="BR83" s="146">
        <v>4.2999999999999997E-2</v>
      </c>
      <c r="BS83" s="146">
        <v>7.3999999999999996E-2</v>
      </c>
      <c r="BT83" s="146">
        <v>9.0999999999999998E-2</v>
      </c>
      <c r="BV83" s="15">
        <v>2035</v>
      </c>
      <c r="BW83" s="22">
        <f>BW82*IF(Simulation!$D$35="SMPT",1+$E83,IF(Simulation!$D$35="PRIX",1+$B83))</f>
        <v>22170.4693888414</v>
      </c>
      <c r="BX83" s="23">
        <f>BX82*IF(Simulation!$D$35="SMPT",1+$E83,IF(Simulation!$D$35="PRIX",1+$B83))</f>
        <v>28983.771353023625</v>
      </c>
      <c r="BY83" s="23">
        <f>BY82*IF(Simulation!$D$35="SMPT",1+$E83,IF(Simulation!$D$35="PRIX",1+$B83))</f>
        <v>44979.448296081435</v>
      </c>
      <c r="BZ83" s="5"/>
      <c r="CA83" s="146">
        <v>0</v>
      </c>
      <c r="CB83" s="146">
        <f t="shared" si="41"/>
        <v>4.2999999999999997E-2</v>
      </c>
      <c r="CC83" s="146">
        <f t="shared" si="42"/>
        <v>7.3999999999999996E-2</v>
      </c>
      <c r="CD83" s="146">
        <f t="shared" si="43"/>
        <v>9.0999999999999998E-2</v>
      </c>
      <c r="CE83" s="146">
        <f t="shared" si="43"/>
        <v>3.2000000000000001E-2</v>
      </c>
      <c r="CG83" s="15">
        <v>2035</v>
      </c>
      <c r="CH83" s="317">
        <f t="shared" si="57"/>
        <v>9.1999999999999998E-2</v>
      </c>
      <c r="CI83" s="311">
        <f t="shared" si="25"/>
        <v>6.8000000000000005E-2</v>
      </c>
      <c r="CJ83" s="311">
        <f t="shared" si="26"/>
        <v>5.0000000000000001E-3</v>
      </c>
      <c r="CK83" s="311">
        <f t="shared" si="26"/>
        <v>0.98250000000000004</v>
      </c>
      <c r="CL83" s="313">
        <f t="shared" si="27"/>
        <v>0</v>
      </c>
      <c r="CM83" s="313">
        <v>0</v>
      </c>
      <c r="CN83" s="313">
        <v>0</v>
      </c>
      <c r="CO83" s="318">
        <f t="shared" si="28"/>
        <v>2.4000000000000001E-4</v>
      </c>
    </row>
    <row r="84" spans="1:93" x14ac:dyDescent="0.25">
      <c r="A84" s="15">
        <v>2036</v>
      </c>
      <c r="B84" s="54">
        <f>IF($F$1=1.8%,LOOKUP($A84,Prix!B$6:B$127,Prix!$G$6:$G$127),IF($F$1=1.5%,LOOKUP($A84,Prix!B$6:B$127,Prix!$H$6:$H$127),IF($F$1=1.3%,LOOKUP($A84,Prix!B$6:B$127,Prix!$I$6:$I$127),LOOKUP($A84,Prix!B$6:B$127,Prix!$J$6:$J$127))))</f>
        <v>1.7500000000000002E-2</v>
      </c>
      <c r="C84" s="7">
        <f t="shared" si="33"/>
        <v>1.2750291142091918</v>
      </c>
      <c r="D84" s="5">
        <f>IF($F$1=1.8%,LOOKUP($A84,SMPT!$B$6:$B$127,SMPT!$C$6:$C$127),IF($F$1=1.5%,LOOKUP($A84,SMPT!$B$6:$B$127,SMPT!$D$6:$D$127),IF($F$1=1.3%,LOOKUP($A84,SMPT!$B$6:$B$127,SMPT!$E$6:$E$127),LOOKUP($A84,SMPT!$B$6:$B$127,SMPT!$F$6:$F$127))))</f>
        <v>59028.766035131986</v>
      </c>
      <c r="E84" s="17">
        <f t="shared" si="34"/>
        <v>3.0727500000000019E-2</v>
      </c>
      <c r="F84" s="60">
        <f>IF($F$1=1.8%,LOOKUP($A84,SMIC!$B$6:$B$125,SMIC!$C$6:$C$125),IF($F$1=1.5%,LOOKUP($A84,SMIC!$B$6:$B$125,SMIC!$D$6:$D$125),IF($F$1=1.3%,LOOKUP($A84,SMIC!$B$6:$B$125,SMIC!$E$6:$E$125),LOOKUP($A84,SMIC!$B$6:$B$125,SMIC!$F$6:$F$125))))</f>
        <v>26242.135882095226</v>
      </c>
      <c r="G84" s="153">
        <f t="shared" si="29"/>
        <v>1.607141353952519</v>
      </c>
      <c r="H84" s="357">
        <f t="shared" si="23"/>
        <v>3.0463836477987449E-2</v>
      </c>
      <c r="I84" s="15">
        <v>2036</v>
      </c>
      <c r="J84" s="13">
        <f t="shared" si="35"/>
        <v>29985.560622945926</v>
      </c>
      <c r="K84" s="65">
        <f t="shared" si="44"/>
        <v>0.17749999999999999</v>
      </c>
      <c r="L84" s="65">
        <f t="shared" si="36"/>
        <v>0.10450000000000001</v>
      </c>
      <c r="M84" s="65">
        <f t="shared" si="37"/>
        <v>7.2999999999999982E-2</v>
      </c>
      <c r="N84" s="65">
        <f t="shared" si="16"/>
        <v>2.3000000000000003E-2</v>
      </c>
      <c r="O84" s="65">
        <f>IF(Simulation!$D$43="Oui",$Q84,0)</f>
        <v>1.9000000000000003E-2</v>
      </c>
      <c r="P84" s="65">
        <f>IF(Simulation!$D$43="Oui",$R84,0)</f>
        <v>4.0000000000000001E-3</v>
      </c>
      <c r="Q84" s="678">
        <f t="shared" si="38"/>
        <v>1.9000000000000003E-2</v>
      </c>
      <c r="R84" s="678">
        <f t="shared" si="38"/>
        <v>4.0000000000000001E-3</v>
      </c>
      <c r="S84" s="56">
        <f>IF($F$1=1.8%,LOOKUP($A84,Sal_valid!$B$6:$B$127,Sal_valid!$C$6:$C$127),IF($F$1=1.5%,LOOKUP($A84,Sal_valid!$B$6:$B$127,Sal_valid!$D$6:$D$127),IF($F$1=1.3%,LOOKUP($A84,Sal_valid!$B$6:$B$127,Sal_valid!$E$6:$E$127),LOOKUP($A84,Sal_valid!$B$6:$B$127,Sal_valid!$F$6:$F$127))))</f>
        <v>2162.7366889737118</v>
      </c>
      <c r="T84" s="76">
        <f>IF(Simulation!$D$33="Prix",Revalo_RB!$D96,Barèmes!$E84)</f>
        <v>1.7500000000000002E-2</v>
      </c>
      <c r="U84" s="76">
        <f>IF(Simulation!$D$34="Prix",Revalo_RB!$H96,Barèmes!$E84)</f>
        <v>1.7500000000000002E-2</v>
      </c>
      <c r="V84" s="56">
        <f>IF($F$1=1.8%,LOOKUP($A84,PSS!$B$6:$B$127,PSS!$C$6:$C$127),IF($F$1=1.5%,LOOKUP($A84,PSS!$B$6:$B$127,PSS!$D$6:$D$127),IF($F$1=1.3%,LOOKUP($A84,PSS!$B$6:$B$127,PSS!$E$6:$E$127),LOOKUP($A84,PSS!$B$6:$B$127,PSS!$F$6:$F$127))))</f>
        <v>62916</v>
      </c>
      <c r="W84" s="56">
        <f>IF($F$1=1.8%,LOOKUP($A84,Smic_AVPF!$B$6:$B$104,Smic_AVPF!$C$6:$C$104),IF($F$1=1.5%,LOOKUP($A84,Smic_AVPF!$B$6:$B$104,Smic_AVPF!$D$6:$D$104),IF($F$1=1.3%,LOOKUP($A84,Smic_AVPF!$B$6:$B$104,Smic_AVPF!$E$6:$E$104),LOOKUP($A84,Smic_AVPF!$B$6:$B$104,Smic_AVPF!$F$6:$F$104))))</f>
        <v>28894.503088698875</v>
      </c>
      <c r="X84" s="56">
        <f>IF(Simulation!$D$32="SMPT",(1+$E84)*X83,IF(Simulation!$D$32="PRIX",Minima!$O33))</f>
        <v>9872.119954866188</v>
      </c>
      <c r="Y84" s="56">
        <f>IF(Simulation!$D$32="SMPT",(1+$E84)*Y83,IF(Simulation!$D$32="PRIX",Minima!$P33))</f>
        <v>10787.525399053291</v>
      </c>
      <c r="Z84" s="56">
        <f t="shared" si="45"/>
        <v>18404.000490709794</v>
      </c>
      <c r="AA84" s="58"/>
      <c r="AB84" s="15">
        <v>2036</v>
      </c>
      <c r="AC84" s="64">
        <f t="shared" si="46"/>
        <v>6.2E-2</v>
      </c>
      <c r="AD84" s="65">
        <f t="shared" si="39"/>
        <v>3.7200000000000004E-2</v>
      </c>
      <c r="AE84" s="65">
        <f t="shared" si="47"/>
        <v>2.4799999999999996E-2</v>
      </c>
      <c r="AF84" s="65">
        <f t="shared" si="48"/>
        <v>0.17</v>
      </c>
      <c r="AG84" s="65">
        <f t="shared" si="40"/>
        <v>0.10200000000000001</v>
      </c>
      <c r="AH84" s="65">
        <f t="shared" si="49"/>
        <v>6.8000000000000005E-2</v>
      </c>
      <c r="AI84" s="66">
        <f t="shared" si="50"/>
        <v>1.27</v>
      </c>
      <c r="AJ84" s="66"/>
      <c r="AK84" s="66"/>
      <c r="AL84" s="65">
        <f t="shared" si="20"/>
        <v>3.4999999999999996E-3</v>
      </c>
      <c r="AM84" s="65">
        <f>IF(Simulation!$D$42="Oui",Barèmes!$AO84,0)</f>
        <v>2.0999999999999999E-3</v>
      </c>
      <c r="AN84" s="65">
        <f>IF(Simulation!$D$42="Oui",Barèmes!$AP84,0)</f>
        <v>1.3999999999999998E-3</v>
      </c>
      <c r="AO84" s="678">
        <f t="shared" si="51"/>
        <v>2.0999999999999999E-3</v>
      </c>
      <c r="AP84" s="678">
        <f t="shared" si="52"/>
        <v>1.3999999999999998E-3</v>
      </c>
      <c r="AQ84" s="65">
        <f t="shared" si="15"/>
        <v>2.1499999999999998E-2</v>
      </c>
      <c r="AR84" s="65">
        <f>IF(Simulation!$D$42="Oui",Barèmes!$AT84,0)</f>
        <v>1.29E-2</v>
      </c>
      <c r="AS84" s="65">
        <f>IF(Simulation!$D$42="Oui",Barèmes!$AU84,0)</f>
        <v>8.6E-3</v>
      </c>
      <c r="AT84" s="678">
        <f t="shared" si="53"/>
        <v>1.29E-2</v>
      </c>
      <c r="AU84" s="678">
        <f t="shared" si="54"/>
        <v>8.6E-3</v>
      </c>
      <c r="AV84" s="65">
        <f t="shared" si="21"/>
        <v>2.7000000000000003E-2</v>
      </c>
      <c r="AW84" s="65">
        <f>IF(Simulation!$D$42="Oui",Barèmes!$AY84,0)</f>
        <v>1.6200000000000003E-2</v>
      </c>
      <c r="AX84" s="65">
        <f>IF(Simulation!$D$42="Oui",Barèmes!$AZ84,0)</f>
        <v>1.0800000000000001E-2</v>
      </c>
      <c r="AY84" s="678">
        <f t="shared" si="55"/>
        <v>1.6200000000000003E-2</v>
      </c>
      <c r="AZ84" s="678">
        <f t="shared" si="56"/>
        <v>1.0800000000000001E-2</v>
      </c>
      <c r="BA84" s="69">
        <f>IF($F$1=1.8%,LOOKUP($A84,'AGIRC-ARRCO'!$B$6:$B$57,'AGIRC-ARRCO'!$C$6:$C$57),IF($F$1=1.5%,LOOKUP($A84,'AGIRC-ARRCO'!$B$6:$B$57,'AGIRC-ARRCO'!$D$6:$D$57),IF($F$1=1.3%,LOOKUP($A84,'AGIRC-ARRCO'!$B$6:$B$57,'AGIRC-ARRCO'!$E$6:$E$57),LOOKUP($A84,'AGIRC-ARRCO'!$B$6:$B$57,'AGIRC-ARRCO'!$F$6:$F$57))))</f>
        <v>25.7133</v>
      </c>
      <c r="BB84" s="69"/>
      <c r="BC84" s="69"/>
      <c r="BD84" s="69">
        <f>IF($F$1=1.8%,LOOKUP($A84,'AGIRC-ARRCO'!$B$6:$B$57,'AGIRC-ARRCO'!$G$6:$G$57),IF($F$1=1.5%,LOOKUP($A84,'AGIRC-ARRCO'!$B$6:$B$57,'AGIRC-ARRCO'!$H$6:$H$57),IF($F$1=1.3%,LOOKUP($A84,'AGIRC-ARRCO'!$B$6:$B$57,'AGIRC-ARRCO'!$I$6:$I$57),LOOKUP($A84,'AGIRC-ARRCO'!$B$6:$B$57,'AGIRC-ARRCO'!$J$6:$J$57))))</f>
        <v>1.6724000000000001</v>
      </c>
      <c r="BE84" s="69"/>
      <c r="BF84" s="69"/>
      <c r="BG84" s="71">
        <f t="shared" si="30"/>
        <v>1.6467333333333334</v>
      </c>
      <c r="BH84" s="71"/>
      <c r="BI84" s="71"/>
      <c r="BJ84" s="18">
        <f t="shared" si="31"/>
        <v>2754.4483246814539</v>
      </c>
      <c r="BL84" s="15">
        <v>2036</v>
      </c>
      <c r="BM84" s="22">
        <f>BM83*IF(Simulation!$D$35="SMPT",1+$E84,IF(Simulation!$D$35="PRIX",1+$B84))</f>
        <v>14705.532988382345</v>
      </c>
      <c r="BN84" s="23">
        <f>BN83*IF(Simulation!$D$35="SMPT",1+$E84,IF(Simulation!$D$35="PRIX",1+$B84))</f>
        <v>19224.957835618359</v>
      </c>
      <c r="BO84" s="23">
        <f>BO83*IF(Simulation!$D$35="SMPT",1+$E84,IF(Simulation!$D$35="PRIX",1+$B84))</f>
        <v>29836.453940138297</v>
      </c>
      <c r="BP84" s="5"/>
      <c r="BQ84" s="146">
        <v>0</v>
      </c>
      <c r="BR84" s="146">
        <v>4.2999999999999997E-2</v>
      </c>
      <c r="BS84" s="146">
        <v>7.3999999999999996E-2</v>
      </c>
      <c r="BT84" s="146">
        <v>9.0999999999999998E-2</v>
      </c>
      <c r="BV84" s="15">
        <v>2036</v>
      </c>
      <c r="BW84" s="22">
        <f>BW83*IF(Simulation!$D$35="SMPT",1+$E84,IF(Simulation!$D$35="PRIX",1+$B84))</f>
        <v>22558.452603146128</v>
      </c>
      <c r="BX84" s="23">
        <f>BX83*IF(Simulation!$D$35="SMPT",1+$E84,IF(Simulation!$D$35="PRIX",1+$B84))</f>
        <v>29490.98735170154</v>
      </c>
      <c r="BY84" s="23">
        <f>BY83*IF(Simulation!$D$35="SMPT",1+$E84,IF(Simulation!$D$35="PRIX",1+$B84))</f>
        <v>45766.588641262861</v>
      </c>
      <c r="BZ84" s="5"/>
      <c r="CA84" s="146">
        <v>0</v>
      </c>
      <c r="CB84" s="146">
        <f t="shared" si="41"/>
        <v>4.2999999999999997E-2</v>
      </c>
      <c r="CC84" s="146">
        <f t="shared" si="42"/>
        <v>7.3999999999999996E-2</v>
      </c>
      <c r="CD84" s="146">
        <f t="shared" si="43"/>
        <v>9.0999999999999998E-2</v>
      </c>
      <c r="CE84" s="146">
        <f t="shared" si="43"/>
        <v>3.2000000000000001E-2</v>
      </c>
      <c r="CG84" s="15">
        <v>2036</v>
      </c>
      <c r="CH84" s="317">
        <f t="shared" si="57"/>
        <v>9.1999999999999998E-2</v>
      </c>
      <c r="CI84" s="311">
        <f t="shared" si="25"/>
        <v>6.8000000000000005E-2</v>
      </c>
      <c r="CJ84" s="311">
        <f t="shared" si="26"/>
        <v>5.0000000000000001E-3</v>
      </c>
      <c r="CK84" s="311">
        <f t="shared" si="26"/>
        <v>0.98250000000000004</v>
      </c>
      <c r="CL84" s="313">
        <f t="shared" si="27"/>
        <v>0</v>
      </c>
      <c r="CM84" s="313">
        <v>0</v>
      </c>
      <c r="CN84" s="313">
        <v>0</v>
      </c>
      <c r="CO84" s="318">
        <f t="shared" si="28"/>
        <v>2.4000000000000001E-4</v>
      </c>
    </row>
    <row r="85" spans="1:93" x14ac:dyDescent="0.25">
      <c r="A85" s="15">
        <v>2037</v>
      </c>
      <c r="B85" s="54">
        <f>IF($F$1=1.8%,LOOKUP($A85,Prix!B$6:B$127,Prix!$G$6:$G$127),IF($F$1=1.5%,LOOKUP($A85,Prix!B$6:B$127,Prix!$H$6:$H$127),IF($F$1=1.3%,LOOKUP($A85,Prix!B$6:B$127,Prix!$I$6:$I$127),LOOKUP($A85,Prix!B$6:B$127,Prix!$J$6:$J$127))))</f>
        <v>1.7500000000000002E-2</v>
      </c>
      <c r="C85" s="7">
        <f t="shared" si="33"/>
        <v>1.2973421237078528</v>
      </c>
      <c r="D85" s="5">
        <f>IF($F$1=1.8%,LOOKUP($A85,SMPT!$B$6:$B$127,SMPT!$C$6:$C$127),IF($F$1=1.5%,LOOKUP($A85,SMPT!$B$6:$B$127,SMPT!$D$6:$D$127),IF($F$1=1.3%,LOOKUP($A85,SMPT!$B$6:$B$127,SMPT!$E$6:$E$127),LOOKUP($A85,SMPT!$B$6:$B$127,SMPT!$F$6:$F$127))))</f>
        <v>60842.572443476507</v>
      </c>
      <c r="E85" s="17">
        <f t="shared" si="34"/>
        <v>3.0727500000000019E-2</v>
      </c>
      <c r="F85" s="60">
        <f>IF($F$1=1.8%,LOOKUP($A85,SMIC!$B$6:$B$125,SMIC!$C$6:$C$125),IF($F$1=1.5%,LOOKUP($A85,SMIC!$B$6:$B$125,SMIC!$D$6:$D$125),IF($F$1=1.3%,LOOKUP($A85,SMIC!$B$6:$B$125,SMIC!$E$6:$E$125),LOOKUP($A85,SMIC!$B$6:$B$125,SMIC!$F$6:$F$125))))</f>
        <v>27048.49111241231</v>
      </c>
      <c r="G85" s="153">
        <f t="shared" si="29"/>
        <v>1.6565247899060951</v>
      </c>
      <c r="H85" s="357">
        <f t="shared" si="23"/>
        <v>3.0326149151249204E-2</v>
      </c>
      <c r="I85" s="15">
        <v>2037</v>
      </c>
      <c r="J85" s="13">
        <f t="shared" si="35"/>
        <v>30906.941936987503</v>
      </c>
      <c r="K85" s="65">
        <f t="shared" si="44"/>
        <v>0.17749999999999999</v>
      </c>
      <c r="L85" s="65">
        <f t="shared" si="36"/>
        <v>0.10450000000000001</v>
      </c>
      <c r="M85" s="65">
        <f t="shared" si="37"/>
        <v>7.2999999999999982E-2</v>
      </c>
      <c r="N85" s="65">
        <f t="shared" si="16"/>
        <v>2.3000000000000003E-2</v>
      </c>
      <c r="O85" s="65">
        <f>IF(Simulation!$D$43="Oui",$Q85,0)</f>
        <v>1.9000000000000003E-2</v>
      </c>
      <c r="P85" s="65">
        <f>IF(Simulation!$D$43="Oui",$R85,0)</f>
        <v>4.0000000000000001E-3</v>
      </c>
      <c r="Q85" s="678">
        <f t="shared" si="38"/>
        <v>1.9000000000000003E-2</v>
      </c>
      <c r="R85" s="678">
        <f t="shared" si="38"/>
        <v>4.0000000000000001E-3</v>
      </c>
      <c r="S85" s="56">
        <f>IF($F$1=1.8%,LOOKUP($A85,Sal_valid!$B$6:$B$127,Sal_valid!$C$6:$C$127),IF($F$1=1.5%,LOOKUP($A85,Sal_valid!$B$6:$B$127,Sal_valid!$D$6:$D$127),IF($F$1=1.3%,LOOKUP($A85,Sal_valid!$B$6:$B$127,Sal_valid!$E$6:$E$127),LOOKUP($A85,Sal_valid!$B$6:$B$127,Sal_valid!$F$6:$F$127))))</f>
        <v>2229.1921805841516</v>
      </c>
      <c r="T85" s="76">
        <f>IF(Simulation!$D$33="Prix",Revalo_RB!$D97,Barèmes!$E85)</f>
        <v>1.7500000000000002E-2</v>
      </c>
      <c r="U85" s="76">
        <f>IF(Simulation!$D$34="Prix",Revalo_RB!$H97,Barèmes!$E85)</f>
        <v>1.7500000000000002E-2</v>
      </c>
      <c r="V85" s="56">
        <f>IF($F$1=1.8%,LOOKUP($A85,PSS!$B$6:$B$127,PSS!$C$6:$C$127),IF($F$1=1.5%,LOOKUP($A85,PSS!$B$6:$B$127,PSS!$D$6:$D$127),IF($F$1=1.3%,LOOKUP($A85,PSS!$B$6:$B$127,PSS!$E$6:$E$127),LOOKUP($A85,PSS!$B$6:$B$127,PSS!$F$6:$F$127))))</f>
        <v>64824</v>
      </c>
      <c r="W85" s="56">
        <f>IF($F$1=1.8%,LOOKUP($A85,Smic_AVPF!$B$6:$B$104,Smic_AVPF!$C$6:$C$104),IF($F$1=1.5%,LOOKUP($A85,Smic_AVPF!$B$6:$B$104,Smic_AVPF!$D$6:$D$104),IF($F$1=1.3%,LOOKUP($A85,Smic_AVPF!$B$6:$B$104,Smic_AVPF!$E$6:$E$104),LOOKUP($A85,Smic_AVPF!$B$6:$B$104,Smic_AVPF!$F$6:$F$104))))</f>
        <v>29782.35893235687</v>
      </c>
      <c r="X85" s="56">
        <f>IF(Simulation!$D$32="SMPT",(1+$E85)*X84,IF(Simulation!$D$32="PRIX",Minima!$O34))</f>
        <v>10044.882054076346</v>
      </c>
      <c r="Y85" s="56">
        <f>IF(Simulation!$D$32="SMPT",(1+$E85)*Y84,IF(Simulation!$D$32="PRIX",Minima!$P34))</f>
        <v>10976.307093536725</v>
      </c>
      <c r="Z85" s="56">
        <f t="shared" si="45"/>
        <v>18726.070499297217</v>
      </c>
      <c r="AA85" s="58"/>
      <c r="AB85" s="15">
        <v>2037</v>
      </c>
      <c r="AC85" s="64">
        <f t="shared" si="46"/>
        <v>6.2E-2</v>
      </c>
      <c r="AD85" s="65">
        <f t="shared" si="39"/>
        <v>3.7200000000000004E-2</v>
      </c>
      <c r="AE85" s="65">
        <f t="shared" si="47"/>
        <v>2.4799999999999996E-2</v>
      </c>
      <c r="AF85" s="65">
        <f t="shared" si="48"/>
        <v>0.17</v>
      </c>
      <c r="AG85" s="65">
        <f t="shared" si="40"/>
        <v>0.10200000000000001</v>
      </c>
      <c r="AH85" s="65">
        <f t="shared" si="49"/>
        <v>6.8000000000000005E-2</v>
      </c>
      <c r="AI85" s="66">
        <f t="shared" si="50"/>
        <v>1.27</v>
      </c>
      <c r="AJ85" s="66"/>
      <c r="AK85" s="66"/>
      <c r="AL85" s="65">
        <f t="shared" si="20"/>
        <v>3.4999999999999996E-3</v>
      </c>
      <c r="AM85" s="65">
        <f>IF(Simulation!$D$42="Oui",Barèmes!$AO85,0)</f>
        <v>2.0999999999999999E-3</v>
      </c>
      <c r="AN85" s="65">
        <f>IF(Simulation!$D$42="Oui",Barèmes!$AP85,0)</f>
        <v>1.3999999999999998E-3</v>
      </c>
      <c r="AO85" s="678">
        <f t="shared" si="51"/>
        <v>2.0999999999999999E-3</v>
      </c>
      <c r="AP85" s="678">
        <f t="shared" si="52"/>
        <v>1.3999999999999998E-3</v>
      </c>
      <c r="AQ85" s="65">
        <f t="shared" si="15"/>
        <v>2.1499999999999998E-2</v>
      </c>
      <c r="AR85" s="65">
        <f>IF(Simulation!$D$42="Oui",Barèmes!$AT85,0)</f>
        <v>1.29E-2</v>
      </c>
      <c r="AS85" s="65">
        <f>IF(Simulation!$D$42="Oui",Barèmes!$AU85,0)</f>
        <v>8.6E-3</v>
      </c>
      <c r="AT85" s="678">
        <f t="shared" si="53"/>
        <v>1.29E-2</v>
      </c>
      <c r="AU85" s="678">
        <f t="shared" si="54"/>
        <v>8.6E-3</v>
      </c>
      <c r="AV85" s="65">
        <f t="shared" si="21"/>
        <v>2.7000000000000003E-2</v>
      </c>
      <c r="AW85" s="65">
        <f>IF(Simulation!$D$42="Oui",Barèmes!$AY85,0)</f>
        <v>1.6200000000000003E-2</v>
      </c>
      <c r="AX85" s="65">
        <f>IF(Simulation!$D$42="Oui",Barèmes!$AZ85,0)</f>
        <v>1.0800000000000001E-2</v>
      </c>
      <c r="AY85" s="678">
        <f t="shared" si="55"/>
        <v>1.6200000000000003E-2</v>
      </c>
      <c r="AZ85" s="678">
        <f t="shared" si="56"/>
        <v>1.0800000000000001E-2</v>
      </c>
      <c r="BA85" s="69">
        <f>IF($F$1=1.8%,LOOKUP($A85,'AGIRC-ARRCO'!$B$6:$B$57,'AGIRC-ARRCO'!$C$6:$C$57),IF($F$1=1.5%,LOOKUP($A85,'AGIRC-ARRCO'!$B$6:$B$57,'AGIRC-ARRCO'!$D$6:$D$57),IF($F$1=1.3%,LOOKUP($A85,'AGIRC-ARRCO'!$B$6:$B$57,'AGIRC-ARRCO'!$E$6:$E$57),LOOKUP($A85,'AGIRC-ARRCO'!$B$6:$B$57,'AGIRC-ARRCO'!$F$6:$F$57))))</f>
        <v>26.1967</v>
      </c>
      <c r="BB85" s="69"/>
      <c r="BC85" s="69"/>
      <c r="BD85" s="69">
        <f>IF($F$1=1.8%,LOOKUP($A85,'AGIRC-ARRCO'!$B$6:$B$57,'AGIRC-ARRCO'!$G$6:$G$57),IF($F$1=1.5%,LOOKUP($A85,'AGIRC-ARRCO'!$B$6:$B$57,'AGIRC-ARRCO'!$H$6:$H$57),IF($F$1=1.3%,LOOKUP($A85,'AGIRC-ARRCO'!$B$6:$B$57,'AGIRC-ARRCO'!$I$6:$I$57),LOOKUP($A85,'AGIRC-ARRCO'!$B$6:$B$57,'AGIRC-ARRCO'!$J$6:$J$57))))</f>
        <v>1.7039</v>
      </c>
      <c r="BE85" s="69"/>
      <c r="BF85" s="69"/>
      <c r="BG85" s="71">
        <f t="shared" si="30"/>
        <v>1.6776500000000001</v>
      </c>
      <c r="BH85" s="71"/>
      <c r="BI85" s="71"/>
      <c r="BJ85" s="18">
        <f t="shared" si="31"/>
        <v>2806.3289287399716</v>
      </c>
      <c r="BL85" s="15">
        <v>2037</v>
      </c>
      <c r="BM85" s="22">
        <f>BM84*IF(Simulation!$D$35="SMPT",1+$E85,IF(Simulation!$D$35="PRIX",1+$B85))</f>
        <v>14962.879815679038</v>
      </c>
      <c r="BN85" s="23">
        <f>BN84*IF(Simulation!$D$35="SMPT",1+$E85,IF(Simulation!$D$35="PRIX",1+$B85))</f>
        <v>19561.394597741681</v>
      </c>
      <c r="BO85" s="23">
        <f>BO84*IF(Simulation!$D$35="SMPT",1+$E85,IF(Simulation!$D$35="PRIX",1+$B85))</f>
        <v>30358.591884090718</v>
      </c>
      <c r="BP85" s="5"/>
      <c r="BQ85" s="146">
        <v>0</v>
      </c>
      <c r="BR85" s="146">
        <v>4.2999999999999997E-2</v>
      </c>
      <c r="BS85" s="146">
        <v>7.3999999999999996E-2</v>
      </c>
      <c r="BT85" s="146">
        <v>9.0999999999999998E-2</v>
      </c>
      <c r="BV85" s="15">
        <v>2037</v>
      </c>
      <c r="BW85" s="22">
        <f>BW84*IF(Simulation!$D$35="SMPT",1+$E85,IF(Simulation!$D$35="PRIX",1+$B85))</f>
        <v>22953.225523701189</v>
      </c>
      <c r="BX85" s="23">
        <f>BX84*IF(Simulation!$D$35="SMPT",1+$E85,IF(Simulation!$D$35="PRIX",1+$B85))</f>
        <v>30007.079630356318</v>
      </c>
      <c r="BY85" s="23">
        <f>BY84*IF(Simulation!$D$35="SMPT",1+$E85,IF(Simulation!$D$35="PRIX",1+$B85))</f>
        <v>46567.503942484967</v>
      </c>
      <c r="BZ85" s="5"/>
      <c r="CA85" s="146">
        <v>0</v>
      </c>
      <c r="CB85" s="146">
        <f t="shared" si="41"/>
        <v>4.2999999999999997E-2</v>
      </c>
      <c r="CC85" s="146">
        <f t="shared" si="42"/>
        <v>7.3999999999999996E-2</v>
      </c>
      <c r="CD85" s="146">
        <f t="shared" si="43"/>
        <v>9.0999999999999998E-2</v>
      </c>
      <c r="CE85" s="146">
        <f t="shared" si="43"/>
        <v>3.2000000000000001E-2</v>
      </c>
      <c r="CG85" s="15">
        <v>2037</v>
      </c>
      <c r="CH85" s="317">
        <f t="shared" si="57"/>
        <v>9.1999999999999998E-2</v>
      </c>
      <c r="CI85" s="311">
        <f t="shared" si="25"/>
        <v>6.8000000000000005E-2</v>
      </c>
      <c r="CJ85" s="311">
        <f t="shared" si="26"/>
        <v>5.0000000000000001E-3</v>
      </c>
      <c r="CK85" s="311">
        <f t="shared" si="26"/>
        <v>0.98250000000000004</v>
      </c>
      <c r="CL85" s="313">
        <f t="shared" si="27"/>
        <v>0</v>
      </c>
      <c r="CM85" s="313">
        <v>0</v>
      </c>
      <c r="CN85" s="313">
        <v>0</v>
      </c>
      <c r="CO85" s="318">
        <f t="shared" si="28"/>
        <v>2.4000000000000001E-4</v>
      </c>
    </row>
    <row r="86" spans="1:93" x14ac:dyDescent="0.25">
      <c r="A86" s="15">
        <v>2038</v>
      </c>
      <c r="B86" s="54">
        <f>IF($F$1=1.8%,LOOKUP($A86,Prix!B$6:B$127,Prix!$G$6:$G$127),IF($F$1=1.5%,LOOKUP($A86,Prix!B$6:B$127,Prix!$H$6:$H$127),IF($F$1=1.3%,LOOKUP($A86,Prix!B$6:B$127,Prix!$I$6:$I$127),LOOKUP($A86,Prix!B$6:B$127,Prix!$J$6:$J$127))))</f>
        <v>1.7500000000000002E-2</v>
      </c>
      <c r="C86" s="7">
        <f t="shared" si="33"/>
        <v>1.3200456108727403</v>
      </c>
      <c r="D86" s="5">
        <f>IF($F$1=1.8%,LOOKUP($A86,SMPT!$B$6:$B$127,SMPT!$C$6:$C$127),IF($F$1=1.5%,LOOKUP($A86,SMPT!$B$6:$B$127,SMPT!$D$6:$D$127),IF($F$1=1.3%,LOOKUP($A86,SMPT!$B$6:$B$127,SMPT!$E$6:$E$127),LOOKUP($A86,SMPT!$B$6:$B$127,SMPT!$F$6:$F$127))))</f>
        <v>62712.112588233431</v>
      </c>
      <c r="E86" s="17">
        <f t="shared" si="34"/>
        <v>3.0727500000000019E-2</v>
      </c>
      <c r="F86" s="60">
        <f>IF($F$1=1.8%,LOOKUP($A86,SMIC!$B$6:$B$125,SMIC!$C$6:$C$125),IF($F$1=1.5%,LOOKUP($A86,SMIC!$B$6:$B$125,SMIC!$D$6:$D$125),IF($F$1=1.3%,LOOKUP($A86,SMIC!$B$6:$B$125,SMIC!$E$6:$E$125),LOOKUP($A86,SMIC!$B$6:$B$125,SMIC!$F$6:$F$125))))</f>
        <v>27879.623623068961</v>
      </c>
      <c r="G86" s="153">
        <f t="shared" si="29"/>
        <v>1.7074256553879346</v>
      </c>
      <c r="H86" s="357">
        <f t="shared" si="23"/>
        <v>3.0359126249537294E-2</v>
      </c>
      <c r="I86" s="15">
        <v>2038</v>
      </c>
      <c r="J86" s="13">
        <f t="shared" si="35"/>
        <v>31856.634995356289</v>
      </c>
      <c r="K86" s="65">
        <f t="shared" si="44"/>
        <v>0.17749999999999999</v>
      </c>
      <c r="L86" s="65">
        <f t="shared" si="36"/>
        <v>0.10450000000000001</v>
      </c>
      <c r="M86" s="65">
        <f t="shared" si="37"/>
        <v>7.2999999999999982E-2</v>
      </c>
      <c r="N86" s="65">
        <f t="shared" si="16"/>
        <v>2.3000000000000003E-2</v>
      </c>
      <c r="O86" s="65">
        <f>IF(Simulation!$D$43="Oui",$Q86,0)</f>
        <v>1.9000000000000003E-2</v>
      </c>
      <c r="P86" s="65">
        <f>IF(Simulation!$D$43="Oui",$R86,0)</f>
        <v>4.0000000000000001E-3</v>
      </c>
      <c r="Q86" s="678">
        <f t="shared" si="38"/>
        <v>1.9000000000000003E-2</v>
      </c>
      <c r="R86" s="678">
        <f t="shared" si="38"/>
        <v>4.0000000000000001E-3</v>
      </c>
      <c r="S86" s="56">
        <f>IF($F$1=1.8%,LOOKUP($A86,Sal_valid!$B$6:$B$127,Sal_valid!$C$6:$C$127),IF($F$1=1.5%,LOOKUP($A86,Sal_valid!$B$6:$B$127,Sal_valid!$D$6:$D$127),IF($F$1=1.3%,LOOKUP($A86,Sal_valid!$B$6:$B$127,Sal_valid!$E$6:$E$127),LOOKUP($A86,Sal_valid!$B$6:$B$127,Sal_valid!$F$6:$F$127))))</f>
        <v>2297.6896833130513</v>
      </c>
      <c r="T86" s="76">
        <f>IF(Simulation!$D$33="Prix",Revalo_RB!$D98,Barèmes!$E86)</f>
        <v>1.7500000000000002E-2</v>
      </c>
      <c r="U86" s="76">
        <f>IF(Simulation!$D$34="Prix",Revalo_RB!$H98,Barèmes!$E86)</f>
        <v>1.7500000000000002E-2</v>
      </c>
      <c r="V86" s="56">
        <f>IF($F$1=1.8%,LOOKUP($A86,PSS!$B$6:$B$127,PSS!$C$6:$C$127),IF($F$1=1.5%,LOOKUP($A86,PSS!$B$6:$B$127,PSS!$D$6:$D$127),IF($F$1=1.3%,LOOKUP($A86,PSS!$B$6:$B$127,PSS!$E$6:$E$127),LOOKUP($A86,PSS!$B$6:$B$127,PSS!$F$6:$F$127))))</f>
        <v>66792</v>
      </c>
      <c r="W86" s="56">
        <f>IF($F$1=1.8%,LOOKUP($A86,Smic_AVPF!$B$6:$B$104,Smic_AVPF!$C$6:$C$104),IF($F$1=1.5%,LOOKUP($A86,Smic_AVPF!$B$6:$B$104,Smic_AVPF!$D$6:$D$104),IF($F$1=1.3%,LOOKUP($A86,Smic_AVPF!$B$6:$B$104,Smic_AVPF!$E$6:$E$104),LOOKUP($A86,Smic_AVPF!$B$6:$B$104,Smic_AVPF!$F$6:$F$104))))</f>
        <v>30697.496366450865</v>
      </c>
      <c r="X86" s="56">
        <f>IF(Simulation!$D$32="SMPT",(1+$E86)*X85,IF(Simulation!$D$32="PRIX",Minima!$O35))</f>
        <v>10220.667490022683</v>
      </c>
      <c r="Y86" s="56">
        <f>IF(Simulation!$D$32="SMPT",(1+$E86)*Y85,IF(Simulation!$D$32="PRIX",Minima!$P35))</f>
        <v>11168.392467673619</v>
      </c>
      <c r="Z86" s="56">
        <f t="shared" si="45"/>
        <v>19053.77673303492</v>
      </c>
      <c r="AA86" s="58"/>
      <c r="AB86" s="15">
        <v>2038</v>
      </c>
      <c r="AC86" s="64">
        <f t="shared" si="46"/>
        <v>6.2E-2</v>
      </c>
      <c r="AD86" s="65">
        <f t="shared" si="39"/>
        <v>3.7200000000000004E-2</v>
      </c>
      <c r="AE86" s="65">
        <f t="shared" si="47"/>
        <v>2.4799999999999996E-2</v>
      </c>
      <c r="AF86" s="65">
        <f t="shared" si="48"/>
        <v>0.17</v>
      </c>
      <c r="AG86" s="65">
        <f t="shared" si="40"/>
        <v>0.10200000000000001</v>
      </c>
      <c r="AH86" s="65">
        <f t="shared" si="49"/>
        <v>6.8000000000000005E-2</v>
      </c>
      <c r="AI86" s="66">
        <f t="shared" si="50"/>
        <v>1.27</v>
      </c>
      <c r="AJ86" s="66"/>
      <c r="AK86" s="66"/>
      <c r="AL86" s="65">
        <f t="shared" si="20"/>
        <v>3.4999999999999996E-3</v>
      </c>
      <c r="AM86" s="65">
        <f>IF(Simulation!$D$42="Oui",Barèmes!$AO86,0)</f>
        <v>2.0999999999999999E-3</v>
      </c>
      <c r="AN86" s="65">
        <f>IF(Simulation!$D$42="Oui",Barèmes!$AP86,0)</f>
        <v>1.3999999999999998E-3</v>
      </c>
      <c r="AO86" s="678">
        <f t="shared" si="51"/>
        <v>2.0999999999999999E-3</v>
      </c>
      <c r="AP86" s="678">
        <f t="shared" si="52"/>
        <v>1.3999999999999998E-3</v>
      </c>
      <c r="AQ86" s="65">
        <f t="shared" si="15"/>
        <v>2.1499999999999998E-2</v>
      </c>
      <c r="AR86" s="65">
        <f>IF(Simulation!$D$42="Oui",Barèmes!$AT86,0)</f>
        <v>1.29E-2</v>
      </c>
      <c r="AS86" s="65">
        <f>IF(Simulation!$D$42="Oui",Barèmes!$AU86,0)</f>
        <v>8.6E-3</v>
      </c>
      <c r="AT86" s="678">
        <f t="shared" si="53"/>
        <v>1.29E-2</v>
      </c>
      <c r="AU86" s="678">
        <f t="shared" si="54"/>
        <v>8.6E-3</v>
      </c>
      <c r="AV86" s="65">
        <f t="shared" si="21"/>
        <v>2.7000000000000003E-2</v>
      </c>
      <c r="AW86" s="65">
        <f>IF(Simulation!$D$42="Oui",Barèmes!$AY86,0)</f>
        <v>1.6200000000000003E-2</v>
      </c>
      <c r="AX86" s="65">
        <f>IF(Simulation!$D$42="Oui",Barèmes!$AZ86,0)</f>
        <v>1.0800000000000001E-2</v>
      </c>
      <c r="AY86" s="678">
        <f t="shared" si="55"/>
        <v>1.6200000000000003E-2</v>
      </c>
      <c r="AZ86" s="678">
        <f t="shared" si="56"/>
        <v>1.0800000000000001E-2</v>
      </c>
      <c r="BA86" s="69">
        <f>IF($F$1=1.8%,LOOKUP($A86,'AGIRC-ARRCO'!$B$6:$B$57,'AGIRC-ARRCO'!$C$6:$C$57),IF($F$1=1.5%,LOOKUP($A86,'AGIRC-ARRCO'!$B$6:$B$57,'AGIRC-ARRCO'!$D$6:$D$57),IF($F$1=1.3%,LOOKUP($A86,'AGIRC-ARRCO'!$B$6:$B$57,'AGIRC-ARRCO'!$E$6:$E$57),LOOKUP($A86,'AGIRC-ARRCO'!$B$6:$B$57,'AGIRC-ARRCO'!$F$6:$F$57))))</f>
        <v>26.6892</v>
      </c>
      <c r="BB86" s="69"/>
      <c r="BC86" s="69"/>
      <c r="BD86" s="69">
        <f>IF($F$1=1.8%,LOOKUP($A86,'AGIRC-ARRCO'!$B$6:$B$57,'AGIRC-ARRCO'!$G$6:$G$57),IF($F$1=1.5%,LOOKUP($A86,'AGIRC-ARRCO'!$B$6:$B$57,'AGIRC-ARRCO'!$H$6:$H$57),IF($F$1=1.3%,LOOKUP($A86,'AGIRC-ARRCO'!$B$6:$B$57,'AGIRC-ARRCO'!$I$6:$I$57),LOOKUP($A86,'AGIRC-ARRCO'!$B$6:$B$57,'AGIRC-ARRCO'!$J$6:$J$57))))</f>
        <v>1.736</v>
      </c>
      <c r="BE86" s="69"/>
      <c r="BF86" s="69"/>
      <c r="BG86" s="71">
        <f t="shared" si="30"/>
        <v>1.7092499999999999</v>
      </c>
      <c r="BH86" s="71"/>
      <c r="BI86" s="71"/>
      <c r="BJ86" s="18">
        <f t="shared" si="31"/>
        <v>2859.1977347805569</v>
      </c>
      <c r="BL86" s="15">
        <v>2038</v>
      </c>
      <c r="BM86" s="22">
        <f>BM85*IF(Simulation!$D$35="SMPT",1+$E86,IF(Simulation!$D$35="PRIX",1+$B86))</f>
        <v>15224.730212453422</v>
      </c>
      <c r="BN86" s="23">
        <f>BN85*IF(Simulation!$D$35="SMPT",1+$E86,IF(Simulation!$D$35="PRIX",1+$B86))</f>
        <v>19903.719003202161</v>
      </c>
      <c r="BO86" s="23">
        <f>BO85*IF(Simulation!$D$35="SMPT",1+$E86,IF(Simulation!$D$35="PRIX",1+$B86))</f>
        <v>30889.867242062308</v>
      </c>
      <c r="BP86" s="5"/>
      <c r="BQ86" s="146">
        <v>0</v>
      </c>
      <c r="BR86" s="146">
        <v>4.2999999999999997E-2</v>
      </c>
      <c r="BS86" s="146">
        <v>7.3999999999999996E-2</v>
      </c>
      <c r="BT86" s="146">
        <v>9.0999999999999998E-2</v>
      </c>
      <c r="BV86" s="15">
        <v>2038</v>
      </c>
      <c r="BW86" s="22">
        <f>BW85*IF(Simulation!$D$35="SMPT",1+$E86,IF(Simulation!$D$35="PRIX",1+$B86))</f>
        <v>23354.906970365962</v>
      </c>
      <c r="BX86" s="23">
        <f>BX85*IF(Simulation!$D$35="SMPT",1+$E86,IF(Simulation!$D$35="PRIX",1+$B86))</f>
        <v>30532.203523887558</v>
      </c>
      <c r="BY86" s="23">
        <f>BY85*IF(Simulation!$D$35="SMPT",1+$E86,IF(Simulation!$D$35="PRIX",1+$B86))</f>
        <v>47382.435261478458</v>
      </c>
      <c r="BZ86" s="5"/>
      <c r="CA86" s="146">
        <v>0</v>
      </c>
      <c r="CB86" s="146">
        <f t="shared" si="41"/>
        <v>4.2999999999999997E-2</v>
      </c>
      <c r="CC86" s="146">
        <f t="shared" si="42"/>
        <v>7.3999999999999996E-2</v>
      </c>
      <c r="CD86" s="146">
        <f t="shared" si="43"/>
        <v>9.0999999999999998E-2</v>
      </c>
      <c r="CE86" s="146">
        <f t="shared" si="43"/>
        <v>3.2000000000000001E-2</v>
      </c>
      <c r="CG86" s="15">
        <v>2038</v>
      </c>
      <c r="CH86" s="317">
        <f t="shared" si="57"/>
        <v>9.1999999999999998E-2</v>
      </c>
      <c r="CI86" s="311">
        <f t="shared" si="25"/>
        <v>6.8000000000000005E-2</v>
      </c>
      <c r="CJ86" s="311">
        <f t="shared" si="26"/>
        <v>5.0000000000000001E-3</v>
      </c>
      <c r="CK86" s="311">
        <f t="shared" si="26"/>
        <v>0.98250000000000004</v>
      </c>
      <c r="CL86" s="313">
        <f t="shared" si="27"/>
        <v>0</v>
      </c>
      <c r="CM86" s="313">
        <v>0</v>
      </c>
      <c r="CN86" s="313">
        <v>0</v>
      </c>
      <c r="CO86" s="318">
        <f t="shared" si="28"/>
        <v>2.4000000000000001E-4</v>
      </c>
    </row>
    <row r="87" spans="1:93" x14ac:dyDescent="0.25">
      <c r="A87" s="15">
        <v>2039</v>
      </c>
      <c r="B87" s="54">
        <f>IF($F$1=1.8%,LOOKUP($A87,Prix!B$6:B$127,Prix!$G$6:$G$127),IF($F$1=1.5%,LOOKUP($A87,Prix!B$6:B$127,Prix!$H$6:$H$127),IF($F$1=1.3%,LOOKUP($A87,Prix!B$6:B$127,Prix!$I$6:$I$127),LOOKUP($A87,Prix!B$6:B$127,Prix!$J$6:$J$127))))</f>
        <v>1.7500000000000002E-2</v>
      </c>
      <c r="C87" s="7">
        <f t="shared" si="33"/>
        <v>1.3431464090630134</v>
      </c>
      <c r="D87" s="5">
        <f>IF($F$1=1.8%,LOOKUP($A87,SMPT!$B$6:$B$127,SMPT!$C$6:$C$127),IF($F$1=1.5%,LOOKUP($A87,SMPT!$B$6:$B$127,SMPT!$D$6:$D$127),IF($F$1=1.3%,LOOKUP($A87,SMPT!$B$6:$B$127,SMPT!$E$6:$E$127),LOOKUP($A87,SMPT!$B$6:$B$127,SMPT!$F$6:$F$127))))</f>
        <v>64639.099027788376</v>
      </c>
      <c r="E87" s="17">
        <f t="shared" si="34"/>
        <v>3.0727500000000019E-2</v>
      </c>
      <c r="F87" s="60">
        <f>IF($F$1=1.8%,LOOKUP($A87,SMIC!$B$6:$B$125,SMIC!$C$6:$C$125),IF($F$1=1.5%,LOOKUP($A87,SMIC!$B$6:$B$125,SMIC!$D$6:$D$125),IF($F$1=1.3%,LOOKUP($A87,SMIC!$B$6:$B$125,SMIC!$E$6:$E$125),LOOKUP($A87,SMIC!$B$6:$B$125,SMIC!$F$6:$F$125))))</f>
        <v>28736.294757946805</v>
      </c>
      <c r="G87" s="153">
        <f t="shared" si="29"/>
        <v>1.7598905772138675</v>
      </c>
      <c r="H87" s="357">
        <f t="shared" si="23"/>
        <v>3.0542579949694559E-2</v>
      </c>
      <c r="I87" s="15">
        <v>2039</v>
      </c>
      <c r="J87" s="13">
        <f t="shared" si="35"/>
        <v>32835.509747176089</v>
      </c>
      <c r="K87" s="65">
        <f t="shared" si="44"/>
        <v>0.17749999999999999</v>
      </c>
      <c r="L87" s="65">
        <f t="shared" si="36"/>
        <v>0.10450000000000001</v>
      </c>
      <c r="M87" s="65">
        <f t="shared" si="37"/>
        <v>7.2999999999999982E-2</v>
      </c>
      <c r="N87" s="65">
        <f t="shared" si="16"/>
        <v>2.3000000000000003E-2</v>
      </c>
      <c r="O87" s="65">
        <f>IF(Simulation!$D$43="Oui",$Q87,0)</f>
        <v>1.9000000000000003E-2</v>
      </c>
      <c r="P87" s="65">
        <f>IF(Simulation!$D$43="Oui",$R87,0)</f>
        <v>4.0000000000000001E-3</v>
      </c>
      <c r="Q87" s="678">
        <f t="shared" si="38"/>
        <v>1.9000000000000003E-2</v>
      </c>
      <c r="R87" s="678">
        <f t="shared" si="38"/>
        <v>4.0000000000000001E-3</v>
      </c>
      <c r="S87" s="56">
        <f>IF($F$1=1.8%,LOOKUP($A87,Sal_valid!$B$6:$B$127,Sal_valid!$C$6:$C$127),IF($F$1=1.5%,LOOKUP($A87,Sal_valid!$B$6:$B$127,Sal_valid!$D$6:$D$127),IF($F$1=1.3%,LOOKUP($A87,Sal_valid!$B$6:$B$127,Sal_valid!$E$6:$E$127),LOOKUP($A87,Sal_valid!$B$6:$B$127,Sal_valid!$F$6:$F$127))))</f>
        <v>2368.2919430570528</v>
      </c>
      <c r="T87" s="76">
        <f>IF(Simulation!$D$33="Prix",Revalo_RB!$D99,Barèmes!$E87)</f>
        <v>1.7500000000000002E-2</v>
      </c>
      <c r="U87" s="76">
        <f>IF(Simulation!$D$34="Prix",Revalo_RB!$H99,Barèmes!$E87)</f>
        <v>1.7500000000000002E-2</v>
      </c>
      <c r="V87" s="56">
        <f>IF($F$1=1.8%,LOOKUP($A87,PSS!$B$6:$B$127,PSS!$C$6:$C$127),IF($F$1=1.5%,LOOKUP($A87,PSS!$B$6:$B$127,PSS!$D$6:$D$127),IF($F$1=1.3%,LOOKUP($A87,PSS!$B$6:$B$127,PSS!$E$6:$E$127),LOOKUP($A87,PSS!$B$6:$B$127,PSS!$F$6:$F$127))))</f>
        <v>68832</v>
      </c>
      <c r="W87" s="56">
        <f>IF($F$1=1.8%,LOOKUP($A87,Smic_AVPF!$B$6:$B$104,Smic_AVPF!$C$6:$C$104),IF($F$1=1.5%,LOOKUP($A87,Smic_AVPF!$B$6:$B$104,Smic_AVPF!$D$6:$D$104),IF($F$1=1.3%,LOOKUP($A87,Smic_AVPF!$B$6:$B$104,Smic_AVPF!$E$6:$E$104),LOOKUP($A87,Smic_AVPF!$B$6:$B$104,Smic_AVPF!$F$6:$F$104))))</f>
        <v>31640.753686050983</v>
      </c>
      <c r="X87" s="56">
        <f>IF(Simulation!$D$32="SMPT",(1+$E87)*X86,IF(Simulation!$D$32="PRIX",Minima!$O36))</f>
        <v>10399.52917109808</v>
      </c>
      <c r="Y87" s="56">
        <f>IF(Simulation!$D$32="SMPT",(1+$E87)*Y86,IF(Simulation!$D$32="PRIX",Minima!$P36))</f>
        <v>11363.839335857909</v>
      </c>
      <c r="Z87" s="56">
        <f t="shared" si="45"/>
        <v>19387.217825863034</v>
      </c>
      <c r="AA87" s="58"/>
      <c r="AB87" s="15">
        <v>2039</v>
      </c>
      <c r="AC87" s="64">
        <f t="shared" si="46"/>
        <v>6.2E-2</v>
      </c>
      <c r="AD87" s="65">
        <f t="shared" si="39"/>
        <v>3.7200000000000004E-2</v>
      </c>
      <c r="AE87" s="65">
        <f t="shared" si="47"/>
        <v>2.4799999999999996E-2</v>
      </c>
      <c r="AF87" s="65">
        <f t="shared" si="48"/>
        <v>0.17</v>
      </c>
      <c r="AG87" s="65">
        <f t="shared" si="40"/>
        <v>0.10200000000000001</v>
      </c>
      <c r="AH87" s="65">
        <f t="shared" si="49"/>
        <v>6.8000000000000005E-2</v>
      </c>
      <c r="AI87" s="66">
        <f t="shared" si="50"/>
        <v>1.27</v>
      </c>
      <c r="AJ87" s="66"/>
      <c r="AK87" s="66"/>
      <c r="AL87" s="65">
        <f t="shared" si="20"/>
        <v>3.4999999999999996E-3</v>
      </c>
      <c r="AM87" s="65">
        <f>IF(Simulation!$D$42="Oui",Barèmes!$AO87,0)</f>
        <v>2.0999999999999999E-3</v>
      </c>
      <c r="AN87" s="65">
        <f>IF(Simulation!$D$42="Oui",Barèmes!$AP87,0)</f>
        <v>1.3999999999999998E-3</v>
      </c>
      <c r="AO87" s="678">
        <f t="shared" si="51"/>
        <v>2.0999999999999999E-3</v>
      </c>
      <c r="AP87" s="678">
        <f t="shared" si="52"/>
        <v>1.3999999999999998E-3</v>
      </c>
      <c r="AQ87" s="65">
        <f t="shared" si="15"/>
        <v>2.1499999999999998E-2</v>
      </c>
      <c r="AR87" s="65">
        <f>IF(Simulation!$D$42="Oui",Barèmes!$AT87,0)</f>
        <v>1.29E-2</v>
      </c>
      <c r="AS87" s="65">
        <f>IF(Simulation!$D$42="Oui",Barèmes!$AU87,0)</f>
        <v>8.6E-3</v>
      </c>
      <c r="AT87" s="678">
        <f t="shared" si="53"/>
        <v>1.29E-2</v>
      </c>
      <c r="AU87" s="678">
        <f t="shared" si="54"/>
        <v>8.6E-3</v>
      </c>
      <c r="AV87" s="65">
        <f t="shared" si="21"/>
        <v>2.7000000000000003E-2</v>
      </c>
      <c r="AW87" s="65">
        <f>IF(Simulation!$D$42="Oui",Barèmes!$AY87,0)</f>
        <v>1.6200000000000003E-2</v>
      </c>
      <c r="AX87" s="65">
        <f>IF(Simulation!$D$42="Oui",Barèmes!$AZ87,0)</f>
        <v>1.0800000000000001E-2</v>
      </c>
      <c r="AY87" s="678">
        <f t="shared" si="55"/>
        <v>1.6200000000000003E-2</v>
      </c>
      <c r="AZ87" s="678">
        <f t="shared" si="56"/>
        <v>1.0800000000000001E-2</v>
      </c>
      <c r="BA87" s="69">
        <f>IF($F$1=1.8%,LOOKUP($A87,'AGIRC-ARRCO'!$B$6:$B$57,'AGIRC-ARRCO'!$C$6:$C$57),IF($F$1=1.5%,LOOKUP($A87,'AGIRC-ARRCO'!$B$6:$B$57,'AGIRC-ARRCO'!$D$6:$D$57),IF($F$1=1.3%,LOOKUP($A87,'AGIRC-ARRCO'!$B$6:$B$57,'AGIRC-ARRCO'!$E$6:$E$57),LOOKUP($A87,'AGIRC-ARRCO'!$B$6:$B$57,'AGIRC-ARRCO'!$F$6:$F$57))))</f>
        <v>27.1936</v>
      </c>
      <c r="BB87" s="69"/>
      <c r="BC87" s="69"/>
      <c r="BD87" s="69">
        <f>IF($F$1=1.8%,LOOKUP($A87,'AGIRC-ARRCO'!$B$6:$B$57,'AGIRC-ARRCO'!$G$6:$G$57),IF($F$1=1.5%,LOOKUP($A87,'AGIRC-ARRCO'!$B$6:$B$57,'AGIRC-ARRCO'!$H$6:$H$57),IF($F$1=1.3%,LOOKUP($A87,'AGIRC-ARRCO'!$B$6:$B$57,'AGIRC-ARRCO'!$I$6:$I$57),LOOKUP($A87,'AGIRC-ARRCO'!$B$6:$B$57,'AGIRC-ARRCO'!$J$6:$J$57))))</f>
        <v>1.7687999999999999</v>
      </c>
      <c r="BE87" s="69"/>
      <c r="BF87" s="69"/>
      <c r="BG87" s="71">
        <f t="shared" si="30"/>
        <v>1.7414666666666667</v>
      </c>
      <c r="BH87" s="71"/>
      <c r="BI87" s="71"/>
      <c r="BJ87" s="18">
        <f t="shared" si="31"/>
        <v>2913.2194431335533</v>
      </c>
      <c r="BL87" s="15">
        <v>2039</v>
      </c>
      <c r="BM87" s="22">
        <f>BM86*IF(Simulation!$D$35="SMPT",1+$E87,IF(Simulation!$D$35="PRIX",1+$B87))</f>
        <v>15491.162991171357</v>
      </c>
      <c r="BN87" s="23">
        <f>BN86*IF(Simulation!$D$35="SMPT",1+$E87,IF(Simulation!$D$35="PRIX",1+$B87))</f>
        <v>20252.034085758201</v>
      </c>
      <c r="BO87" s="23">
        <f>BO86*IF(Simulation!$D$35="SMPT",1+$E87,IF(Simulation!$D$35="PRIX",1+$B87))</f>
        <v>31430.439918798402</v>
      </c>
      <c r="BP87" s="5"/>
      <c r="BQ87" s="146">
        <v>0</v>
      </c>
      <c r="BR87" s="146">
        <v>4.2999999999999997E-2</v>
      </c>
      <c r="BS87" s="146">
        <v>7.3999999999999996E-2</v>
      </c>
      <c r="BT87" s="146">
        <v>9.0999999999999998E-2</v>
      </c>
      <c r="BV87" s="15">
        <v>2039</v>
      </c>
      <c r="BW87" s="22">
        <f>BW86*IF(Simulation!$D$35="SMPT",1+$E87,IF(Simulation!$D$35="PRIX",1+$B87))</f>
        <v>23763.617842347368</v>
      </c>
      <c r="BX87" s="23">
        <f>BX86*IF(Simulation!$D$35="SMPT",1+$E87,IF(Simulation!$D$35="PRIX",1+$B87))</f>
        <v>31066.517085555592</v>
      </c>
      <c r="BY87" s="23">
        <f>BY86*IF(Simulation!$D$35="SMPT",1+$E87,IF(Simulation!$D$35="PRIX",1+$B87))</f>
        <v>48211.627878554333</v>
      </c>
      <c r="BZ87" s="5"/>
      <c r="CA87" s="146">
        <v>0</v>
      </c>
      <c r="CB87" s="146">
        <f t="shared" si="41"/>
        <v>4.2999999999999997E-2</v>
      </c>
      <c r="CC87" s="146">
        <f t="shared" si="42"/>
        <v>7.3999999999999996E-2</v>
      </c>
      <c r="CD87" s="146">
        <f t="shared" si="43"/>
        <v>9.0999999999999998E-2</v>
      </c>
      <c r="CE87" s="146">
        <f t="shared" si="43"/>
        <v>3.2000000000000001E-2</v>
      </c>
      <c r="CG87" s="15">
        <v>2039</v>
      </c>
      <c r="CH87" s="317">
        <f t="shared" si="57"/>
        <v>9.1999999999999998E-2</v>
      </c>
      <c r="CI87" s="311">
        <f t="shared" si="25"/>
        <v>6.8000000000000005E-2</v>
      </c>
      <c r="CJ87" s="311">
        <f t="shared" si="26"/>
        <v>5.0000000000000001E-3</v>
      </c>
      <c r="CK87" s="311">
        <f t="shared" si="26"/>
        <v>0.98250000000000004</v>
      </c>
      <c r="CL87" s="313">
        <f t="shared" si="27"/>
        <v>0</v>
      </c>
      <c r="CM87" s="313">
        <v>0</v>
      </c>
      <c r="CN87" s="313">
        <v>0</v>
      </c>
      <c r="CO87" s="318">
        <f t="shared" si="28"/>
        <v>2.4000000000000001E-4</v>
      </c>
    </row>
    <row r="88" spans="1:93" x14ac:dyDescent="0.25">
      <c r="A88" s="15">
        <v>2040</v>
      </c>
      <c r="B88" s="54">
        <f>IF($F$1=1.8%,LOOKUP($A88,Prix!B$6:B$127,Prix!$G$6:$G$127),IF($F$1=1.5%,LOOKUP($A88,Prix!B$6:B$127,Prix!$H$6:$H$127),IF($F$1=1.3%,LOOKUP($A88,Prix!B$6:B$127,Prix!$I$6:$I$127),LOOKUP($A88,Prix!B$6:B$127,Prix!$J$6:$J$127))))</f>
        <v>1.7500000000000002E-2</v>
      </c>
      <c r="C88" s="7">
        <f t="shared" si="33"/>
        <v>1.3666514712216162</v>
      </c>
      <c r="D88" s="5">
        <f>IF($F$1=1.8%,LOOKUP($A88,SMPT!$B$6:$B$127,SMPT!$C$6:$C$127),IF($F$1=1.5%,LOOKUP($A88,SMPT!$B$6:$B$127,SMPT!$D$6:$D$127),IF($F$1=1.3%,LOOKUP($A88,SMPT!$B$6:$B$127,SMPT!$E$6:$E$127),LOOKUP($A88,SMPT!$B$6:$B$127,SMPT!$F$6:$F$127))))</f>
        <v>66625.296943164751</v>
      </c>
      <c r="E88" s="17">
        <f t="shared" si="34"/>
        <v>3.0727500000000019E-2</v>
      </c>
      <c r="F88" s="60">
        <f>IF($F$1=1.8%,LOOKUP($A88,SMIC!$B$6:$B$125,SMIC!$C$6:$C$125),IF($F$1=1.5%,LOOKUP($A88,SMIC!$B$6:$B$125,SMIC!$D$6:$D$125),IF($F$1=1.3%,LOOKUP($A88,SMIC!$B$6:$B$125,SMIC!$E$6:$E$125),LOOKUP($A88,SMIC!$B$6:$B$125,SMIC!$F$6:$F$125))))</f>
        <v>29619.289255121617</v>
      </c>
      <c r="G88" s="153">
        <f t="shared" si="29"/>
        <v>1.8139676149252069</v>
      </c>
      <c r="H88" s="357">
        <f t="shared" si="23"/>
        <v>3.05090655509066E-2</v>
      </c>
      <c r="I88" s="15">
        <v>2040</v>
      </c>
      <c r="J88" s="13">
        <f t="shared" si="35"/>
        <v>33844.462872932447</v>
      </c>
      <c r="K88" s="65">
        <f t="shared" si="44"/>
        <v>0.17749999999999999</v>
      </c>
      <c r="L88" s="65">
        <f t="shared" si="36"/>
        <v>0.10450000000000001</v>
      </c>
      <c r="M88" s="65">
        <f t="shared" si="37"/>
        <v>7.2999999999999982E-2</v>
      </c>
      <c r="N88" s="65">
        <f t="shared" si="16"/>
        <v>2.3000000000000003E-2</v>
      </c>
      <c r="O88" s="65">
        <f>IF(Simulation!$D$43="Oui",$Q88,0)</f>
        <v>1.9000000000000003E-2</v>
      </c>
      <c r="P88" s="65">
        <f>IF(Simulation!$D$43="Oui",$R88,0)</f>
        <v>4.0000000000000001E-3</v>
      </c>
      <c r="Q88" s="678">
        <f t="shared" si="38"/>
        <v>1.9000000000000003E-2</v>
      </c>
      <c r="R88" s="678">
        <f t="shared" si="38"/>
        <v>4.0000000000000001E-3</v>
      </c>
      <c r="S88" s="56">
        <f>IF($F$1=1.8%,LOOKUP($A88,Sal_valid!$B$6:$B$127,Sal_valid!$C$6:$C$127),IF($F$1=1.5%,LOOKUP($A88,Sal_valid!$B$6:$B$127,Sal_valid!$D$6:$D$127),IF($F$1=1.3%,LOOKUP($A88,Sal_valid!$B$6:$B$127,Sal_valid!$E$6:$E$127),LOOKUP($A88,Sal_valid!$B$6:$B$127,Sal_valid!$F$6:$F$127))))</f>
        <v>2441.0636337373385</v>
      </c>
      <c r="T88" s="76">
        <f>IF(Simulation!$D$33="Prix",Revalo_RB!$D100,Barèmes!$E88)</f>
        <v>1.7500000000000002E-2</v>
      </c>
      <c r="U88" s="76">
        <f>IF(Simulation!$D$34="Prix",Revalo_RB!$H100,Barèmes!$E88)</f>
        <v>1.7500000000000002E-2</v>
      </c>
      <c r="V88" s="56">
        <f>IF($F$1=1.8%,LOOKUP($A88,PSS!$B$6:$B$127,PSS!$C$6:$C$127),IF($F$1=1.5%,LOOKUP($A88,PSS!$B$6:$B$127,PSS!$D$6:$D$127),IF($F$1=1.3%,LOOKUP($A88,PSS!$B$6:$B$127,PSS!$E$6:$E$127),LOOKUP($A88,PSS!$B$6:$B$127,PSS!$F$6:$F$127))))</f>
        <v>70932</v>
      </c>
      <c r="W88" s="56">
        <f>IF($F$1=1.8%,LOOKUP($A88,Smic_AVPF!$B$6:$B$104,Smic_AVPF!$C$6:$C$104),IF($F$1=1.5%,LOOKUP($A88,Smic_AVPF!$B$6:$B$104,Smic_AVPF!$D$6:$D$104),IF($F$1=1.3%,LOOKUP($A88,Smic_AVPF!$B$6:$B$104,Smic_AVPF!$E$6:$E$104),LOOKUP($A88,Smic_AVPF!$B$6:$B$104,Smic_AVPF!$F$6:$F$104))))</f>
        <v>32612.994944939113</v>
      </c>
      <c r="X88" s="56">
        <f>IF(Simulation!$D$32="SMPT",(1+$E88)*X87,IF(Simulation!$D$32="PRIX",Minima!$O37))</f>
        <v>10581.520931592297</v>
      </c>
      <c r="Y88" s="56">
        <f>IF(Simulation!$D$32="SMPT",(1+$E88)*Y87,IF(Simulation!$D$32="PRIX",Minima!$P37))</f>
        <v>11562.706524235424</v>
      </c>
      <c r="Z88" s="56">
        <f t="shared" si="45"/>
        <v>19726.49413781564</v>
      </c>
      <c r="AA88" s="58"/>
      <c r="AB88" s="15">
        <v>2040</v>
      </c>
      <c r="AC88" s="64">
        <f t="shared" si="46"/>
        <v>6.2E-2</v>
      </c>
      <c r="AD88" s="65">
        <f t="shared" si="39"/>
        <v>3.7200000000000004E-2</v>
      </c>
      <c r="AE88" s="65">
        <f t="shared" si="47"/>
        <v>2.4799999999999996E-2</v>
      </c>
      <c r="AF88" s="65">
        <f t="shared" si="48"/>
        <v>0.17</v>
      </c>
      <c r="AG88" s="65">
        <f t="shared" si="40"/>
        <v>0.10200000000000001</v>
      </c>
      <c r="AH88" s="65">
        <f t="shared" si="49"/>
        <v>6.8000000000000005E-2</v>
      </c>
      <c r="AI88" s="66">
        <f t="shared" si="50"/>
        <v>1.27</v>
      </c>
      <c r="AJ88" s="66"/>
      <c r="AK88" s="66"/>
      <c r="AL88" s="65">
        <f t="shared" si="20"/>
        <v>3.4999999999999996E-3</v>
      </c>
      <c r="AM88" s="65">
        <f>IF(Simulation!$D$42="Oui",Barèmes!$AO88,0)</f>
        <v>2.0999999999999999E-3</v>
      </c>
      <c r="AN88" s="65">
        <f>IF(Simulation!$D$42="Oui",Barèmes!$AP88,0)</f>
        <v>1.3999999999999998E-3</v>
      </c>
      <c r="AO88" s="678">
        <f t="shared" si="51"/>
        <v>2.0999999999999999E-3</v>
      </c>
      <c r="AP88" s="678">
        <f t="shared" si="52"/>
        <v>1.3999999999999998E-3</v>
      </c>
      <c r="AQ88" s="65">
        <f t="shared" si="15"/>
        <v>2.1499999999999998E-2</v>
      </c>
      <c r="AR88" s="65">
        <f>IF(Simulation!$D$42="Oui",Barèmes!$AT88,0)</f>
        <v>1.29E-2</v>
      </c>
      <c r="AS88" s="65">
        <f>IF(Simulation!$D$42="Oui",Barèmes!$AU88,0)</f>
        <v>8.6E-3</v>
      </c>
      <c r="AT88" s="678">
        <f t="shared" si="53"/>
        <v>1.29E-2</v>
      </c>
      <c r="AU88" s="678">
        <f t="shared" si="54"/>
        <v>8.6E-3</v>
      </c>
      <c r="AV88" s="65">
        <f t="shared" si="21"/>
        <v>2.7000000000000003E-2</v>
      </c>
      <c r="AW88" s="65">
        <f>IF(Simulation!$D$42="Oui",Barèmes!$AY88,0)</f>
        <v>1.6200000000000003E-2</v>
      </c>
      <c r="AX88" s="65">
        <f>IF(Simulation!$D$42="Oui",Barèmes!$AZ88,0)</f>
        <v>1.0800000000000001E-2</v>
      </c>
      <c r="AY88" s="678">
        <f t="shared" si="55"/>
        <v>1.6200000000000003E-2</v>
      </c>
      <c r="AZ88" s="678">
        <f t="shared" si="56"/>
        <v>1.0800000000000001E-2</v>
      </c>
      <c r="BA88" s="69">
        <f>IF($F$1=1.8%,LOOKUP($A88,'AGIRC-ARRCO'!$B$6:$B$57,'AGIRC-ARRCO'!$C$6:$C$57),IF($F$1=1.5%,LOOKUP($A88,'AGIRC-ARRCO'!$B$6:$B$57,'AGIRC-ARRCO'!$D$6:$D$57),IF($F$1=1.3%,LOOKUP($A88,'AGIRC-ARRCO'!$B$6:$B$57,'AGIRC-ARRCO'!$E$6:$E$57),LOOKUP($A88,'AGIRC-ARRCO'!$B$6:$B$57,'AGIRC-ARRCO'!$F$6:$F$57))))</f>
        <v>27.707599999999999</v>
      </c>
      <c r="BB88" s="69"/>
      <c r="BC88" s="69"/>
      <c r="BD88" s="69">
        <f>IF($F$1=1.8%,LOOKUP($A88,'AGIRC-ARRCO'!$B$6:$B$57,'AGIRC-ARRCO'!$G$6:$G$57),IF($F$1=1.5%,LOOKUP($A88,'AGIRC-ARRCO'!$B$6:$B$57,'AGIRC-ARRCO'!$H$6:$H$57),IF($F$1=1.3%,LOOKUP($A88,'AGIRC-ARRCO'!$B$6:$B$57,'AGIRC-ARRCO'!$I$6:$I$57),LOOKUP($A88,'AGIRC-ARRCO'!$B$6:$B$57,'AGIRC-ARRCO'!$J$6:$J$57))))</f>
        <v>1.8022</v>
      </c>
      <c r="BE88" s="69"/>
      <c r="BF88" s="69"/>
      <c r="BG88" s="71">
        <f t="shared" si="30"/>
        <v>1.7743666666666666</v>
      </c>
      <c r="BH88" s="71"/>
      <c r="BI88" s="71"/>
      <c r="BJ88" s="18">
        <f t="shared" si="31"/>
        <v>2968.2293534686173</v>
      </c>
      <c r="BL88" s="15">
        <v>2040</v>
      </c>
      <c r="BM88" s="22">
        <f>BM87*IF(Simulation!$D$35="SMPT",1+$E88,IF(Simulation!$D$35="PRIX",1+$B88))</f>
        <v>15762.258343516856</v>
      </c>
      <c r="BN88" s="23">
        <f>BN87*IF(Simulation!$D$35="SMPT",1+$E88,IF(Simulation!$D$35="PRIX",1+$B88))</f>
        <v>20606.444682258971</v>
      </c>
      <c r="BO88" s="23">
        <f>BO87*IF(Simulation!$D$35="SMPT",1+$E88,IF(Simulation!$D$35="PRIX",1+$B88))</f>
        <v>31980.472617377374</v>
      </c>
      <c r="BP88" s="5"/>
      <c r="BQ88" s="146">
        <v>0</v>
      </c>
      <c r="BR88" s="146">
        <v>4.2999999999999997E-2</v>
      </c>
      <c r="BS88" s="146">
        <v>7.3999999999999996E-2</v>
      </c>
      <c r="BT88" s="146">
        <v>9.0999999999999998E-2</v>
      </c>
      <c r="BV88" s="15">
        <v>2040</v>
      </c>
      <c r="BW88" s="22">
        <f>BW87*IF(Simulation!$D$35="SMPT",1+$E88,IF(Simulation!$D$35="PRIX",1+$B88))</f>
        <v>24179.481154588448</v>
      </c>
      <c r="BX88" s="23">
        <f>BX87*IF(Simulation!$D$35="SMPT",1+$E88,IF(Simulation!$D$35="PRIX",1+$B88))</f>
        <v>31610.181134552815</v>
      </c>
      <c r="BY88" s="23">
        <f>BY87*IF(Simulation!$D$35="SMPT",1+$E88,IF(Simulation!$D$35="PRIX",1+$B88))</f>
        <v>49055.33136642904</v>
      </c>
      <c r="BZ88" s="5"/>
      <c r="CA88" s="146">
        <v>0</v>
      </c>
      <c r="CB88" s="146">
        <f t="shared" si="41"/>
        <v>4.2999999999999997E-2</v>
      </c>
      <c r="CC88" s="146">
        <f t="shared" si="42"/>
        <v>7.3999999999999996E-2</v>
      </c>
      <c r="CD88" s="146">
        <f t="shared" si="43"/>
        <v>9.0999999999999998E-2</v>
      </c>
      <c r="CE88" s="146">
        <f t="shared" si="43"/>
        <v>3.2000000000000001E-2</v>
      </c>
      <c r="CG88" s="15">
        <v>2040</v>
      </c>
      <c r="CH88" s="317">
        <f t="shared" si="57"/>
        <v>9.1999999999999998E-2</v>
      </c>
      <c r="CI88" s="311">
        <f t="shared" si="25"/>
        <v>6.8000000000000005E-2</v>
      </c>
      <c r="CJ88" s="311">
        <f t="shared" si="26"/>
        <v>5.0000000000000001E-3</v>
      </c>
      <c r="CK88" s="311">
        <f t="shared" si="26"/>
        <v>0.98250000000000004</v>
      </c>
      <c r="CL88" s="313">
        <f t="shared" si="27"/>
        <v>0</v>
      </c>
      <c r="CM88" s="313">
        <v>0</v>
      </c>
      <c r="CN88" s="313">
        <v>0</v>
      </c>
      <c r="CO88" s="318">
        <f t="shared" si="28"/>
        <v>2.4000000000000001E-4</v>
      </c>
    </row>
    <row r="89" spans="1:93" x14ac:dyDescent="0.25">
      <c r="A89" s="15">
        <v>2041</v>
      </c>
      <c r="B89" s="54">
        <f>IF($F$1=1.8%,LOOKUP($A89,Prix!B$6:B$127,Prix!$G$6:$G$127),IF($F$1=1.5%,LOOKUP($A89,Prix!B$6:B$127,Prix!$H$6:$H$127),IF($F$1=1.3%,LOOKUP($A89,Prix!B$6:B$127,Prix!$I$6:$I$127),LOOKUP($A89,Prix!B$6:B$127,Prix!$J$6:$J$127))))</f>
        <v>1.7500000000000002E-2</v>
      </c>
      <c r="C89" s="7">
        <f t="shared" si="33"/>
        <v>1.3905678719679946</v>
      </c>
      <c r="D89" s="5">
        <f>IF($F$1=1.8%,LOOKUP($A89,SMPT!$B$6:$B$127,SMPT!$C$6:$C$127),IF($F$1=1.5%,LOOKUP($A89,SMPT!$B$6:$B$127,SMPT!$D$6:$D$127),IF($F$1=1.3%,LOOKUP($A89,SMPT!$B$6:$B$127,SMPT!$E$6:$E$127),LOOKUP($A89,SMPT!$B$6:$B$127,SMPT!$F$6:$F$127))))</f>
        <v>68672.525754985851</v>
      </c>
      <c r="E89" s="17">
        <f t="shared" si="34"/>
        <v>3.0727500000000019E-2</v>
      </c>
      <c r="F89" s="60">
        <f>IF($F$1=1.8%,LOOKUP($A89,SMIC!$B$6:$B$125,SMIC!$C$6:$C$125),IF($F$1=1.5%,LOOKUP($A89,SMIC!$B$6:$B$125,SMIC!$D$6:$D$125),IF($F$1=1.3%,LOOKUP($A89,SMIC!$B$6:$B$125,SMIC!$E$6:$E$125),LOOKUP($A89,SMIC!$B$6:$B$125,SMIC!$F$6:$F$125))))</f>
        <v>30529.415965708366</v>
      </c>
      <c r="G89" s="153">
        <f t="shared" si="29"/>
        <v>1.8697063048128213</v>
      </c>
      <c r="H89" s="357">
        <f t="shared" si="23"/>
        <v>3.0451700219928934E-2</v>
      </c>
      <c r="I89" s="15">
        <v>2041</v>
      </c>
      <c r="J89" s="13">
        <f t="shared" si="35"/>
        <v>34884.418605860476</v>
      </c>
      <c r="K89" s="65">
        <f t="shared" si="44"/>
        <v>0.17749999999999999</v>
      </c>
      <c r="L89" s="65">
        <f t="shared" si="36"/>
        <v>0.10450000000000001</v>
      </c>
      <c r="M89" s="65">
        <f t="shared" si="37"/>
        <v>7.2999999999999982E-2</v>
      </c>
      <c r="N89" s="65">
        <f t="shared" si="16"/>
        <v>2.3000000000000003E-2</v>
      </c>
      <c r="O89" s="65">
        <f>IF(Simulation!$D$43="Oui",$Q89,0)</f>
        <v>1.9000000000000003E-2</v>
      </c>
      <c r="P89" s="65">
        <f>IF(Simulation!$D$43="Oui",$R89,0)</f>
        <v>4.0000000000000001E-3</v>
      </c>
      <c r="Q89" s="678">
        <f t="shared" si="38"/>
        <v>1.9000000000000003E-2</v>
      </c>
      <c r="R89" s="678">
        <f t="shared" si="38"/>
        <v>4.0000000000000001E-3</v>
      </c>
      <c r="S89" s="56">
        <f>IF($F$1=1.8%,LOOKUP($A89,Sal_valid!$B$6:$B$127,Sal_valid!$C$6:$C$127),IF($F$1=1.5%,LOOKUP($A89,Sal_valid!$B$6:$B$127,Sal_valid!$D$6:$D$127),IF($F$1=1.3%,LOOKUP($A89,Sal_valid!$B$6:$B$127,Sal_valid!$E$6:$E$127),LOOKUP($A89,Sal_valid!$B$6:$B$127,Sal_valid!$F$6:$F$127))))</f>
        <v>2516.0714165430022</v>
      </c>
      <c r="T89" s="76">
        <f>IF(Simulation!$D$33="Prix",Revalo_RB!$D101,Barèmes!$E89)</f>
        <v>1.7500000000000002E-2</v>
      </c>
      <c r="U89" s="76">
        <f>IF(Simulation!$D$34="Prix",Revalo_RB!$H101,Barèmes!$E89)</f>
        <v>1.7500000000000002E-2</v>
      </c>
      <c r="V89" s="56">
        <f>IF($F$1=1.8%,LOOKUP($A89,PSS!$B$6:$B$127,PSS!$C$6:$C$127),IF($F$1=1.5%,LOOKUP($A89,PSS!$B$6:$B$127,PSS!$D$6:$D$127),IF($F$1=1.3%,LOOKUP($A89,PSS!$B$6:$B$127,PSS!$E$6:$E$127),LOOKUP($A89,PSS!$B$6:$B$127,PSS!$F$6:$F$127))))</f>
        <v>73092</v>
      </c>
      <c r="W89" s="56">
        <f>IF($F$1=1.8%,LOOKUP($A89,Smic_AVPF!$B$6:$B$104,Smic_AVPF!$C$6:$C$104),IF($F$1=1.5%,LOOKUP($A89,Smic_AVPF!$B$6:$B$104,Smic_AVPF!$D$6:$D$104),IF($F$1=1.3%,LOOKUP($A89,Smic_AVPF!$B$6:$B$104,Smic_AVPF!$E$6:$E$104),LOOKUP($A89,Smic_AVPF!$B$6:$B$104,Smic_AVPF!$F$6:$F$104))))</f>
        <v>33615.110747109728</v>
      </c>
      <c r="X89" s="56">
        <f>IF(Simulation!$D$32="SMPT",(1+$E89)*X88,IF(Simulation!$D$32="PRIX",Minima!$O38))</f>
        <v>10766.697547895163</v>
      </c>
      <c r="Y89" s="56">
        <f>IF(Simulation!$D$32="SMPT",(1+$E89)*Y88,IF(Simulation!$D$32="PRIX",Minima!$P38))</f>
        <v>11765.053888409544</v>
      </c>
      <c r="Z89" s="56">
        <f t="shared" si="45"/>
        <v>20071.707785227412</v>
      </c>
      <c r="AA89" s="58"/>
      <c r="AB89" s="15">
        <v>2041</v>
      </c>
      <c r="AC89" s="64">
        <f t="shared" si="46"/>
        <v>6.2E-2</v>
      </c>
      <c r="AD89" s="65">
        <f t="shared" si="39"/>
        <v>3.7200000000000004E-2</v>
      </c>
      <c r="AE89" s="65">
        <f t="shared" si="47"/>
        <v>2.4799999999999996E-2</v>
      </c>
      <c r="AF89" s="65">
        <f t="shared" si="48"/>
        <v>0.17</v>
      </c>
      <c r="AG89" s="65">
        <f t="shared" si="40"/>
        <v>0.10200000000000001</v>
      </c>
      <c r="AH89" s="65">
        <f t="shared" si="49"/>
        <v>6.8000000000000005E-2</v>
      </c>
      <c r="AI89" s="66">
        <f t="shared" si="50"/>
        <v>1.27</v>
      </c>
      <c r="AJ89" s="66"/>
      <c r="AK89" s="66"/>
      <c r="AL89" s="65">
        <f t="shared" si="20"/>
        <v>3.4999999999999996E-3</v>
      </c>
      <c r="AM89" s="65">
        <f>IF(Simulation!$D$42="Oui",Barèmes!$AO89,0)</f>
        <v>2.0999999999999999E-3</v>
      </c>
      <c r="AN89" s="65">
        <f>IF(Simulation!$D$42="Oui",Barèmes!$AP89,0)</f>
        <v>1.3999999999999998E-3</v>
      </c>
      <c r="AO89" s="678">
        <f t="shared" si="51"/>
        <v>2.0999999999999999E-3</v>
      </c>
      <c r="AP89" s="678">
        <f t="shared" si="52"/>
        <v>1.3999999999999998E-3</v>
      </c>
      <c r="AQ89" s="65">
        <f t="shared" si="15"/>
        <v>2.1499999999999998E-2</v>
      </c>
      <c r="AR89" s="65">
        <f>IF(Simulation!$D$42="Oui",Barèmes!$AT89,0)</f>
        <v>1.29E-2</v>
      </c>
      <c r="AS89" s="65">
        <f>IF(Simulation!$D$42="Oui",Barèmes!$AU89,0)</f>
        <v>8.6E-3</v>
      </c>
      <c r="AT89" s="678">
        <f t="shared" si="53"/>
        <v>1.29E-2</v>
      </c>
      <c r="AU89" s="678">
        <f t="shared" si="54"/>
        <v>8.6E-3</v>
      </c>
      <c r="AV89" s="65">
        <f t="shared" si="21"/>
        <v>2.7000000000000003E-2</v>
      </c>
      <c r="AW89" s="65">
        <f>IF(Simulation!$D$42="Oui",Barèmes!$AY89,0)</f>
        <v>1.6200000000000003E-2</v>
      </c>
      <c r="AX89" s="65">
        <f>IF(Simulation!$D$42="Oui",Barèmes!$AZ89,0)</f>
        <v>1.0800000000000001E-2</v>
      </c>
      <c r="AY89" s="678">
        <f t="shared" si="55"/>
        <v>1.6200000000000003E-2</v>
      </c>
      <c r="AZ89" s="678">
        <f t="shared" si="56"/>
        <v>1.0800000000000001E-2</v>
      </c>
      <c r="BA89" s="69">
        <f>IF($F$1=1.8%,LOOKUP($A89,'AGIRC-ARRCO'!$B$6:$B$57,'AGIRC-ARRCO'!$C$6:$C$57),IF($F$1=1.5%,LOOKUP($A89,'AGIRC-ARRCO'!$B$6:$B$57,'AGIRC-ARRCO'!$D$6:$D$57),IF($F$1=1.3%,LOOKUP($A89,'AGIRC-ARRCO'!$B$6:$B$57,'AGIRC-ARRCO'!$E$6:$E$57),LOOKUP($A89,'AGIRC-ARRCO'!$B$6:$B$57,'AGIRC-ARRCO'!$F$6:$F$57))))</f>
        <v>28.231300000000001</v>
      </c>
      <c r="BB89" s="69"/>
      <c r="BC89" s="69"/>
      <c r="BD89" s="69">
        <f>IF($F$1=1.8%,LOOKUP($A89,'AGIRC-ARRCO'!$B$6:$B$57,'AGIRC-ARRCO'!$G$6:$G$57),IF($F$1=1.5%,LOOKUP($A89,'AGIRC-ARRCO'!$B$6:$B$57,'AGIRC-ARRCO'!$H$6:$H$57),IF($F$1=1.3%,LOOKUP($A89,'AGIRC-ARRCO'!$B$6:$B$57,'AGIRC-ARRCO'!$I$6:$I$57),LOOKUP($A89,'AGIRC-ARRCO'!$B$6:$B$57,'AGIRC-ARRCO'!$J$6:$J$57))))</f>
        <v>1.8363</v>
      </c>
      <c r="BE89" s="69"/>
      <c r="BF89" s="69"/>
      <c r="BG89" s="71">
        <f t="shared" si="30"/>
        <v>1.8078833333333333</v>
      </c>
      <c r="BH89" s="71"/>
      <c r="BI89" s="71"/>
      <c r="BJ89" s="18">
        <f t="shared" si="31"/>
        <v>3024.3921661160925</v>
      </c>
      <c r="BL89" s="15">
        <v>2041</v>
      </c>
      <c r="BM89" s="22">
        <f>BM88*IF(Simulation!$D$35="SMPT",1+$E89,IF(Simulation!$D$35="PRIX",1+$B89))</f>
        <v>16038.097864528403</v>
      </c>
      <c r="BN89" s="23">
        <f>BN88*IF(Simulation!$D$35="SMPT",1+$E89,IF(Simulation!$D$35="PRIX",1+$B89))</f>
        <v>20967.057464198504</v>
      </c>
      <c r="BO89" s="23">
        <f>BO88*IF(Simulation!$D$35="SMPT",1+$E89,IF(Simulation!$D$35="PRIX",1+$B89))</f>
        <v>32540.13088818148</v>
      </c>
      <c r="BP89" s="5"/>
      <c r="BQ89" s="146">
        <v>0</v>
      </c>
      <c r="BR89" s="146">
        <v>4.2999999999999997E-2</v>
      </c>
      <c r="BS89" s="146">
        <v>7.3999999999999996E-2</v>
      </c>
      <c r="BT89" s="146">
        <v>9.0999999999999998E-2</v>
      </c>
      <c r="BV89" s="15">
        <v>2041</v>
      </c>
      <c r="BW89" s="22">
        <f>BW88*IF(Simulation!$D$35="SMPT",1+$E89,IF(Simulation!$D$35="PRIX",1+$B89))</f>
        <v>24602.622074793748</v>
      </c>
      <c r="BX89" s="23">
        <f>BX88*IF(Simulation!$D$35="SMPT",1+$E89,IF(Simulation!$D$35="PRIX",1+$B89))</f>
        <v>32163.359304407491</v>
      </c>
      <c r="BY89" s="23">
        <f>BY88*IF(Simulation!$D$35="SMPT",1+$E89,IF(Simulation!$D$35="PRIX",1+$B89))</f>
        <v>49913.799665341554</v>
      </c>
      <c r="BZ89" s="5"/>
      <c r="CA89" s="146">
        <v>0</v>
      </c>
      <c r="CB89" s="146">
        <f t="shared" si="41"/>
        <v>4.2999999999999997E-2</v>
      </c>
      <c r="CC89" s="146">
        <f t="shared" si="42"/>
        <v>7.3999999999999996E-2</v>
      </c>
      <c r="CD89" s="146">
        <f t="shared" si="43"/>
        <v>9.0999999999999998E-2</v>
      </c>
      <c r="CE89" s="146">
        <f t="shared" si="43"/>
        <v>3.2000000000000001E-2</v>
      </c>
      <c r="CG89" s="15">
        <v>2041</v>
      </c>
      <c r="CH89" s="317">
        <f t="shared" si="57"/>
        <v>9.1999999999999998E-2</v>
      </c>
      <c r="CI89" s="311">
        <f t="shared" si="25"/>
        <v>6.8000000000000005E-2</v>
      </c>
      <c r="CJ89" s="311">
        <f t="shared" si="26"/>
        <v>5.0000000000000001E-3</v>
      </c>
      <c r="CK89" s="311">
        <f t="shared" si="26"/>
        <v>0.98250000000000004</v>
      </c>
      <c r="CL89" s="313">
        <f t="shared" si="27"/>
        <v>0</v>
      </c>
      <c r="CM89" s="313">
        <v>0</v>
      </c>
      <c r="CN89" s="313">
        <v>0</v>
      </c>
      <c r="CO89" s="318">
        <f t="shared" si="28"/>
        <v>2.4000000000000001E-4</v>
      </c>
    </row>
    <row r="90" spans="1:93" x14ac:dyDescent="0.25">
      <c r="A90" s="15">
        <v>2042</v>
      </c>
      <c r="B90" s="54">
        <f>IF($F$1=1.8%,LOOKUP($A90,Prix!B$6:B$127,Prix!$G$6:$G$127),IF($F$1=1.5%,LOOKUP($A90,Prix!B$6:B$127,Prix!$H$6:$H$127),IF($F$1=1.3%,LOOKUP($A90,Prix!B$6:B$127,Prix!$I$6:$I$127),LOOKUP($A90,Prix!B$6:B$127,Prix!$J$6:$J$127))))</f>
        <v>1.7500000000000002E-2</v>
      </c>
      <c r="C90" s="7">
        <f t="shared" si="33"/>
        <v>1.4149028097274345</v>
      </c>
      <c r="D90" s="5">
        <f>IF($F$1=1.8%,LOOKUP($A90,SMPT!$B$6:$B$127,SMPT!$C$6:$C$127),IF($F$1=1.5%,LOOKUP($A90,SMPT!$B$6:$B$127,SMPT!$D$6:$D$127),IF($F$1=1.3%,LOOKUP($A90,SMPT!$B$6:$B$127,SMPT!$E$6:$E$127),LOOKUP($A90,SMPT!$B$6:$B$127,SMPT!$F$6:$F$127))))</f>
        <v>70782.660790122187</v>
      </c>
      <c r="E90" s="17">
        <f t="shared" si="34"/>
        <v>3.0727500000000019E-2</v>
      </c>
      <c r="F90" s="60">
        <f>IF($F$1=1.8%,LOOKUP($A90,SMIC!$B$6:$B$125,SMIC!$C$6:$C$125),IF($F$1=1.5%,LOOKUP($A90,SMIC!$B$6:$B$125,SMIC!$D$6:$D$125),IF($F$1=1.3%,LOOKUP($A90,SMIC!$B$6:$B$125,SMIC!$E$6:$E$125),LOOKUP($A90,SMIC!$B$6:$B$125,SMIC!$F$6:$F$125))))</f>
        <v>31467.508594794672</v>
      </c>
      <c r="G90" s="153">
        <f t="shared" si="29"/>
        <v>1.9271577052939575</v>
      </c>
      <c r="H90" s="357">
        <f t="shared" si="23"/>
        <v>3.0536857658840955E-2</v>
      </c>
      <c r="I90" s="15">
        <v>2042</v>
      </c>
      <c r="J90" s="13">
        <f t="shared" si="35"/>
        <v>35956.329578572055</v>
      </c>
      <c r="K90" s="65">
        <f t="shared" si="44"/>
        <v>0.17749999999999999</v>
      </c>
      <c r="L90" s="65">
        <f t="shared" si="36"/>
        <v>0.10450000000000001</v>
      </c>
      <c r="M90" s="65">
        <f t="shared" si="37"/>
        <v>7.2999999999999982E-2</v>
      </c>
      <c r="N90" s="65">
        <f t="shared" si="16"/>
        <v>2.3000000000000003E-2</v>
      </c>
      <c r="O90" s="65">
        <f>IF(Simulation!$D$43="Oui",$Q90,0)</f>
        <v>1.9000000000000003E-2</v>
      </c>
      <c r="P90" s="65">
        <f>IF(Simulation!$D$43="Oui",$R90,0)</f>
        <v>4.0000000000000001E-3</v>
      </c>
      <c r="Q90" s="678">
        <f t="shared" si="38"/>
        <v>1.9000000000000003E-2</v>
      </c>
      <c r="R90" s="678">
        <f t="shared" si="38"/>
        <v>4.0000000000000001E-3</v>
      </c>
      <c r="S90" s="56">
        <f>IF($F$1=1.8%,LOOKUP($A90,Sal_valid!$B$6:$B$127,Sal_valid!$C$6:$C$127),IF($F$1=1.5%,LOOKUP($A90,Sal_valid!$B$6:$B$127,Sal_valid!$D$6:$D$127),IF($F$1=1.3%,LOOKUP($A90,Sal_valid!$B$6:$B$127,Sal_valid!$E$6:$E$127),LOOKUP($A90,Sal_valid!$B$6:$B$127,Sal_valid!$F$6:$F$127))))</f>
        <v>2593.3840009948271</v>
      </c>
      <c r="T90" s="76">
        <f>IF(Simulation!$D$33="Prix",Revalo_RB!$D102,Barèmes!$E90)</f>
        <v>1.7500000000000002E-2</v>
      </c>
      <c r="U90" s="76">
        <f>IF(Simulation!$D$34="Prix",Revalo_RB!$H102,Barèmes!$E90)</f>
        <v>1.7500000000000002E-2</v>
      </c>
      <c r="V90" s="56">
        <f>IF($F$1=1.8%,LOOKUP($A90,PSS!$B$6:$B$127,PSS!$C$6:$C$127),IF($F$1=1.5%,LOOKUP($A90,PSS!$B$6:$B$127,PSS!$D$6:$D$127),IF($F$1=1.3%,LOOKUP($A90,PSS!$B$6:$B$127,PSS!$E$6:$E$127),LOOKUP($A90,PSS!$B$6:$B$127,PSS!$F$6:$F$127))))</f>
        <v>75324</v>
      </c>
      <c r="W90" s="56">
        <f>IF($F$1=1.8%,LOOKUP($A90,Smic_AVPF!$B$6:$B$104,Smic_AVPF!$C$6:$C$104),IF($F$1=1.5%,LOOKUP($A90,Smic_AVPF!$B$6:$B$104,Smic_AVPF!$D$6:$D$104),IF($F$1=1.3%,LOOKUP($A90,Smic_AVPF!$B$6:$B$104,Smic_AVPF!$E$6:$E$104),LOOKUP($A90,Smic_AVPF!$B$6:$B$104,Smic_AVPF!$F$6:$F$104))))</f>
        <v>34648.019062591542</v>
      </c>
      <c r="X90" s="56">
        <f>IF(Simulation!$D$32="SMPT",(1+$E90)*X89,IF(Simulation!$D$32="PRIX",Minima!$O39))</f>
        <v>10955.114754983329</v>
      </c>
      <c r="Y90" s="56">
        <f>IF(Simulation!$D$32="SMPT",(1+$E90)*Y89,IF(Simulation!$D$32="PRIX",Minima!$P39))</f>
        <v>11970.942331456712</v>
      </c>
      <c r="Z90" s="56">
        <f t="shared" si="45"/>
        <v>20422.962671468893</v>
      </c>
      <c r="AA90" s="58"/>
      <c r="AB90" s="15">
        <v>2042</v>
      </c>
      <c r="AC90" s="64">
        <f t="shared" si="46"/>
        <v>6.2E-2</v>
      </c>
      <c r="AD90" s="65">
        <f t="shared" si="39"/>
        <v>3.7200000000000004E-2</v>
      </c>
      <c r="AE90" s="65">
        <f t="shared" si="47"/>
        <v>2.4799999999999996E-2</v>
      </c>
      <c r="AF90" s="65">
        <f t="shared" si="48"/>
        <v>0.17</v>
      </c>
      <c r="AG90" s="65">
        <f t="shared" si="40"/>
        <v>0.10200000000000001</v>
      </c>
      <c r="AH90" s="65">
        <f t="shared" si="49"/>
        <v>6.8000000000000005E-2</v>
      </c>
      <c r="AI90" s="66">
        <f t="shared" si="50"/>
        <v>1.27</v>
      </c>
      <c r="AJ90" s="66"/>
      <c r="AK90" s="66"/>
      <c r="AL90" s="65">
        <f t="shared" si="20"/>
        <v>3.4999999999999996E-3</v>
      </c>
      <c r="AM90" s="65">
        <f>IF(Simulation!$D$42="Oui",Barèmes!$AO90,0)</f>
        <v>2.0999999999999999E-3</v>
      </c>
      <c r="AN90" s="65">
        <f>IF(Simulation!$D$42="Oui",Barèmes!$AP90,0)</f>
        <v>1.3999999999999998E-3</v>
      </c>
      <c r="AO90" s="678">
        <f t="shared" si="51"/>
        <v>2.0999999999999999E-3</v>
      </c>
      <c r="AP90" s="678">
        <f t="shared" si="52"/>
        <v>1.3999999999999998E-3</v>
      </c>
      <c r="AQ90" s="65">
        <f t="shared" si="15"/>
        <v>2.1499999999999998E-2</v>
      </c>
      <c r="AR90" s="65">
        <f>IF(Simulation!$D$42="Oui",Barèmes!$AT90,0)</f>
        <v>1.29E-2</v>
      </c>
      <c r="AS90" s="65">
        <f>IF(Simulation!$D$42="Oui",Barèmes!$AU90,0)</f>
        <v>8.6E-3</v>
      </c>
      <c r="AT90" s="678">
        <f t="shared" si="53"/>
        <v>1.29E-2</v>
      </c>
      <c r="AU90" s="678">
        <f t="shared" si="54"/>
        <v>8.6E-3</v>
      </c>
      <c r="AV90" s="65">
        <f t="shared" si="21"/>
        <v>2.7000000000000003E-2</v>
      </c>
      <c r="AW90" s="65">
        <f>IF(Simulation!$D$42="Oui",Barèmes!$AY90,0)</f>
        <v>1.6200000000000003E-2</v>
      </c>
      <c r="AX90" s="65">
        <f>IF(Simulation!$D$42="Oui",Barèmes!$AZ90,0)</f>
        <v>1.0800000000000001E-2</v>
      </c>
      <c r="AY90" s="678">
        <f t="shared" si="55"/>
        <v>1.6200000000000003E-2</v>
      </c>
      <c r="AZ90" s="678">
        <f t="shared" si="56"/>
        <v>1.0800000000000001E-2</v>
      </c>
      <c r="BA90" s="69">
        <f>IF($F$1=1.8%,LOOKUP($A90,'AGIRC-ARRCO'!$B$6:$B$57,'AGIRC-ARRCO'!$C$6:$C$57),IF($F$1=1.5%,LOOKUP($A90,'AGIRC-ARRCO'!$B$6:$B$57,'AGIRC-ARRCO'!$D$6:$D$57),IF($F$1=1.3%,LOOKUP($A90,'AGIRC-ARRCO'!$B$6:$B$57,'AGIRC-ARRCO'!$E$6:$E$57),LOOKUP($A90,'AGIRC-ARRCO'!$B$6:$B$57,'AGIRC-ARRCO'!$F$6:$F$57))))</f>
        <v>28.764900000000001</v>
      </c>
      <c r="BB90" s="69"/>
      <c r="BC90" s="69"/>
      <c r="BD90" s="69">
        <f>IF($F$1=1.8%,LOOKUP($A90,'AGIRC-ARRCO'!$B$6:$B$57,'AGIRC-ARRCO'!$G$6:$G$57),IF($F$1=1.5%,LOOKUP($A90,'AGIRC-ARRCO'!$B$6:$B$57,'AGIRC-ARRCO'!$H$6:$H$57),IF($F$1=1.3%,LOOKUP($A90,'AGIRC-ARRCO'!$B$6:$B$57,'AGIRC-ARRCO'!$I$6:$I$57),LOOKUP($A90,'AGIRC-ARRCO'!$B$6:$B$57,'AGIRC-ARRCO'!$J$6:$J$57))))</f>
        <v>1.871</v>
      </c>
      <c r="BE90" s="69"/>
      <c r="BF90" s="69"/>
      <c r="BG90" s="71">
        <f t="shared" si="30"/>
        <v>1.8420833333333335</v>
      </c>
      <c r="BH90" s="71"/>
      <c r="BI90" s="71"/>
      <c r="BJ90" s="18">
        <f t="shared" si="31"/>
        <v>3081.5431807456348</v>
      </c>
      <c r="BL90" s="15">
        <v>2042</v>
      </c>
      <c r="BM90" s="22">
        <f>BM89*IF(Simulation!$D$35="SMPT",1+$E90,IF(Simulation!$D$35="PRIX",1+$B90))</f>
        <v>16318.764577157652</v>
      </c>
      <c r="BN90" s="23">
        <f>BN89*IF(Simulation!$D$35="SMPT",1+$E90,IF(Simulation!$D$35="PRIX",1+$B90))</f>
        <v>21333.98096982198</v>
      </c>
      <c r="BO90" s="23">
        <f>BO89*IF(Simulation!$D$35="SMPT",1+$E90,IF(Simulation!$D$35="PRIX",1+$B90))</f>
        <v>33109.583178724657</v>
      </c>
      <c r="BP90" s="5"/>
      <c r="BQ90" s="146">
        <v>0</v>
      </c>
      <c r="BR90" s="146">
        <v>4.2999999999999997E-2</v>
      </c>
      <c r="BS90" s="146">
        <v>7.3999999999999996E-2</v>
      </c>
      <c r="BT90" s="146">
        <v>9.0999999999999998E-2</v>
      </c>
      <c r="BV90" s="15">
        <v>2042</v>
      </c>
      <c r="BW90" s="22">
        <f>BW89*IF(Simulation!$D$35="SMPT",1+$E90,IF(Simulation!$D$35="PRIX",1+$B90))</f>
        <v>25033.167961102641</v>
      </c>
      <c r="BX90" s="23">
        <f>BX89*IF(Simulation!$D$35="SMPT",1+$E90,IF(Simulation!$D$35="PRIX",1+$B90))</f>
        <v>32726.218092234623</v>
      </c>
      <c r="BY90" s="23">
        <f>BY89*IF(Simulation!$D$35="SMPT",1+$E90,IF(Simulation!$D$35="PRIX",1+$B90))</f>
        <v>50787.291159485037</v>
      </c>
      <c r="BZ90" s="5"/>
      <c r="CA90" s="146">
        <v>0</v>
      </c>
      <c r="CB90" s="146">
        <f t="shared" si="41"/>
        <v>4.2999999999999997E-2</v>
      </c>
      <c r="CC90" s="146">
        <f t="shared" si="42"/>
        <v>7.3999999999999996E-2</v>
      </c>
      <c r="CD90" s="146">
        <f t="shared" si="43"/>
        <v>9.0999999999999998E-2</v>
      </c>
      <c r="CE90" s="146">
        <f t="shared" si="43"/>
        <v>3.2000000000000001E-2</v>
      </c>
      <c r="CG90" s="15">
        <v>2042</v>
      </c>
      <c r="CH90" s="317">
        <f t="shared" si="57"/>
        <v>9.1999999999999998E-2</v>
      </c>
      <c r="CI90" s="311">
        <f t="shared" si="25"/>
        <v>6.8000000000000005E-2</v>
      </c>
      <c r="CJ90" s="311">
        <f t="shared" si="26"/>
        <v>5.0000000000000001E-3</v>
      </c>
      <c r="CK90" s="311">
        <f t="shared" si="26"/>
        <v>0.98250000000000004</v>
      </c>
      <c r="CL90" s="313">
        <f t="shared" si="27"/>
        <v>0</v>
      </c>
      <c r="CM90" s="313">
        <v>0</v>
      </c>
      <c r="CN90" s="313">
        <v>0</v>
      </c>
      <c r="CO90" s="318">
        <f t="shared" si="28"/>
        <v>2.4000000000000001E-4</v>
      </c>
    </row>
    <row r="91" spans="1:93" x14ac:dyDescent="0.25">
      <c r="A91" s="15">
        <v>2043</v>
      </c>
      <c r="B91" s="54">
        <f>IF($F$1=1.8%,LOOKUP($A91,Prix!B$6:B$127,Prix!$G$6:$G$127),IF($F$1=1.5%,LOOKUP($A91,Prix!B$6:B$127,Prix!$H$6:$H$127),IF($F$1=1.3%,LOOKUP($A91,Prix!B$6:B$127,Prix!$I$6:$I$127),LOOKUP($A91,Prix!B$6:B$127,Prix!$J$6:$J$127))))</f>
        <v>1.7500000000000002E-2</v>
      </c>
      <c r="C91" s="7">
        <f t="shared" si="33"/>
        <v>1.4396636088976646</v>
      </c>
      <c r="D91" s="5">
        <f>IF($F$1=1.8%,LOOKUP($A91,SMPT!$B$6:$B$127,SMPT!$C$6:$C$127),IF($F$1=1.5%,LOOKUP($A91,SMPT!$B$6:$B$127,SMPT!$D$6:$D$127),IF($F$1=1.3%,LOOKUP($A91,SMPT!$B$6:$B$127,SMPT!$E$6:$E$127),LOOKUP($A91,SMPT!$B$6:$B$127,SMPT!$F$6:$F$127))))</f>
        <v>72957.634999550661</v>
      </c>
      <c r="E91" s="17">
        <f t="shared" si="34"/>
        <v>3.0727500000000019E-2</v>
      </c>
      <c r="F91" s="60">
        <f>IF($F$1=1.8%,LOOKUP($A91,SMIC!$B$6:$B$125,SMIC!$C$6:$C$125),IF($F$1=1.5%,LOOKUP($A91,SMIC!$B$6:$B$125,SMIC!$D$6:$D$125),IF($F$1=1.3%,LOOKUP($A91,SMIC!$B$6:$B$125,SMIC!$E$6:$E$125),LOOKUP($A91,SMIC!$B$6:$B$125,SMIC!$F$6:$F$125))))</f>
        <v>32434.426465141223</v>
      </c>
      <c r="G91" s="153">
        <f t="shared" si="29"/>
        <v>1.9863744436833775</v>
      </c>
      <c r="H91" s="357">
        <f t="shared" si="23"/>
        <v>3.0587860442886639E-2</v>
      </c>
      <c r="I91" s="15">
        <v>2043</v>
      </c>
      <c r="J91" s="13">
        <f t="shared" si="35"/>
        <v>37061.177695697625</v>
      </c>
      <c r="K91" s="65">
        <f t="shared" si="44"/>
        <v>0.17749999999999999</v>
      </c>
      <c r="L91" s="65">
        <f t="shared" si="36"/>
        <v>0.10450000000000001</v>
      </c>
      <c r="M91" s="65">
        <f t="shared" si="37"/>
        <v>7.2999999999999982E-2</v>
      </c>
      <c r="N91" s="65">
        <f t="shared" si="16"/>
        <v>2.3000000000000003E-2</v>
      </c>
      <c r="O91" s="65">
        <f>IF(Simulation!$D$43="Oui",$Q91,0)</f>
        <v>1.9000000000000003E-2</v>
      </c>
      <c r="P91" s="65">
        <f>IF(Simulation!$D$43="Oui",$R91,0)</f>
        <v>4.0000000000000001E-3</v>
      </c>
      <c r="Q91" s="678">
        <f t="shared" si="38"/>
        <v>1.9000000000000003E-2</v>
      </c>
      <c r="R91" s="678">
        <f t="shared" si="38"/>
        <v>4.0000000000000001E-3</v>
      </c>
      <c r="S91" s="56">
        <f>IF($F$1=1.8%,LOOKUP($A91,Sal_valid!$B$6:$B$127,Sal_valid!$C$6:$C$127),IF($F$1=1.5%,LOOKUP($A91,Sal_valid!$B$6:$B$127,Sal_valid!$D$6:$D$127),IF($F$1=1.3%,LOOKUP($A91,Sal_valid!$B$6:$B$127,Sal_valid!$E$6:$E$127),LOOKUP($A91,Sal_valid!$B$6:$B$127,Sal_valid!$F$6:$F$127))))</f>
        <v>2673.0722078853955</v>
      </c>
      <c r="T91" s="76">
        <f>IF(Simulation!$D$33="Prix",Revalo_RB!$D103,Barèmes!$E91)</f>
        <v>1.7500000000000002E-2</v>
      </c>
      <c r="U91" s="76">
        <f>IF(Simulation!$D$34="Prix",Revalo_RB!$H103,Barèmes!$E91)</f>
        <v>1.7500000000000002E-2</v>
      </c>
      <c r="V91" s="56">
        <f>IF($F$1=1.8%,LOOKUP($A91,PSS!$B$6:$B$127,PSS!$C$6:$C$127),IF($F$1=1.5%,LOOKUP($A91,PSS!$B$6:$B$127,PSS!$D$6:$D$127),IF($F$1=1.3%,LOOKUP($A91,PSS!$B$6:$B$127,PSS!$E$6:$E$127),LOOKUP($A91,PSS!$B$6:$B$127,PSS!$F$6:$F$127))))</f>
        <v>77628</v>
      </c>
      <c r="W91" s="56">
        <f>IF($F$1=1.8%,LOOKUP($A91,Smic_AVPF!$B$6:$B$104,Smic_AVPF!$C$6:$C$104),IF($F$1=1.5%,LOOKUP($A91,Smic_AVPF!$B$6:$B$104,Smic_AVPF!$D$6:$D$104),IF($F$1=1.3%,LOOKUP($A91,Smic_AVPF!$B$6:$B$104,Smic_AVPF!$E$6:$E$104),LOOKUP($A91,Smic_AVPF!$B$6:$B$104,Smic_AVPF!$F$6:$F$104))))</f>
        <v>35712.666068337319</v>
      </c>
      <c r="X91" s="56">
        <f>IF(Simulation!$D$32="SMPT",(1+$E91)*X90,IF(Simulation!$D$32="PRIX",Minima!$O40))</f>
        <v>11146.829263195539</v>
      </c>
      <c r="Y91" s="56">
        <f>IF(Simulation!$D$32="SMPT",(1+$E91)*Y90,IF(Simulation!$D$32="PRIX",Minima!$P40))</f>
        <v>12180.433822257206</v>
      </c>
      <c r="Z91" s="56">
        <f t="shared" si="45"/>
        <v>20780.364518219601</v>
      </c>
      <c r="AA91" s="58"/>
      <c r="AB91" s="15">
        <v>2043</v>
      </c>
      <c r="AC91" s="64">
        <f t="shared" si="46"/>
        <v>6.2E-2</v>
      </c>
      <c r="AD91" s="65">
        <f t="shared" si="39"/>
        <v>3.7200000000000004E-2</v>
      </c>
      <c r="AE91" s="65">
        <f t="shared" si="47"/>
        <v>2.4799999999999996E-2</v>
      </c>
      <c r="AF91" s="65">
        <f t="shared" si="48"/>
        <v>0.17</v>
      </c>
      <c r="AG91" s="65">
        <f t="shared" si="40"/>
        <v>0.10200000000000001</v>
      </c>
      <c r="AH91" s="65">
        <f t="shared" si="49"/>
        <v>6.8000000000000005E-2</v>
      </c>
      <c r="AI91" s="66">
        <f t="shared" si="50"/>
        <v>1.27</v>
      </c>
      <c r="AJ91" s="66"/>
      <c r="AK91" s="66"/>
      <c r="AL91" s="65">
        <f t="shared" si="20"/>
        <v>3.4999999999999996E-3</v>
      </c>
      <c r="AM91" s="65">
        <f>IF(Simulation!$D$42="Oui",Barèmes!$AO91,0)</f>
        <v>2.0999999999999999E-3</v>
      </c>
      <c r="AN91" s="65">
        <f>IF(Simulation!$D$42="Oui",Barèmes!$AP91,0)</f>
        <v>1.3999999999999998E-3</v>
      </c>
      <c r="AO91" s="678">
        <f t="shared" si="51"/>
        <v>2.0999999999999999E-3</v>
      </c>
      <c r="AP91" s="678">
        <f t="shared" si="52"/>
        <v>1.3999999999999998E-3</v>
      </c>
      <c r="AQ91" s="65">
        <f t="shared" si="15"/>
        <v>2.1499999999999998E-2</v>
      </c>
      <c r="AR91" s="65">
        <f>IF(Simulation!$D$42="Oui",Barèmes!$AT91,0)</f>
        <v>1.29E-2</v>
      </c>
      <c r="AS91" s="65">
        <f>IF(Simulation!$D$42="Oui",Barèmes!$AU91,0)</f>
        <v>8.6E-3</v>
      </c>
      <c r="AT91" s="678">
        <f t="shared" si="53"/>
        <v>1.29E-2</v>
      </c>
      <c r="AU91" s="678">
        <f t="shared" si="54"/>
        <v>8.6E-3</v>
      </c>
      <c r="AV91" s="65">
        <f t="shared" si="21"/>
        <v>2.7000000000000003E-2</v>
      </c>
      <c r="AW91" s="65">
        <f>IF(Simulation!$D$42="Oui",Barèmes!$AY91,0)</f>
        <v>1.6200000000000003E-2</v>
      </c>
      <c r="AX91" s="65">
        <f>IF(Simulation!$D$42="Oui",Barèmes!$AZ91,0)</f>
        <v>1.0800000000000001E-2</v>
      </c>
      <c r="AY91" s="678">
        <f t="shared" si="55"/>
        <v>1.6200000000000003E-2</v>
      </c>
      <c r="AZ91" s="678">
        <f t="shared" si="56"/>
        <v>1.0800000000000001E-2</v>
      </c>
      <c r="BA91" s="69">
        <f>IF($F$1=1.8%,LOOKUP($A91,'AGIRC-ARRCO'!$B$6:$B$57,'AGIRC-ARRCO'!$C$6:$C$57),IF($F$1=1.5%,LOOKUP($A91,'AGIRC-ARRCO'!$B$6:$B$57,'AGIRC-ARRCO'!$D$6:$D$57),IF($F$1=1.3%,LOOKUP($A91,'AGIRC-ARRCO'!$B$6:$B$57,'AGIRC-ARRCO'!$E$6:$E$57),LOOKUP($A91,'AGIRC-ARRCO'!$B$6:$B$57,'AGIRC-ARRCO'!$F$6:$F$57))))</f>
        <v>29.308599999999998</v>
      </c>
      <c r="BB91" s="69"/>
      <c r="BC91" s="69"/>
      <c r="BD91" s="69">
        <f>IF($F$1=1.8%,LOOKUP($A91,'AGIRC-ARRCO'!$B$6:$B$57,'AGIRC-ARRCO'!$G$6:$G$57),IF($F$1=1.5%,LOOKUP($A91,'AGIRC-ARRCO'!$B$6:$B$57,'AGIRC-ARRCO'!$H$6:$H$57),IF($F$1=1.3%,LOOKUP($A91,'AGIRC-ARRCO'!$B$6:$B$57,'AGIRC-ARRCO'!$I$6:$I$57),LOOKUP($A91,'AGIRC-ARRCO'!$B$6:$B$57,'AGIRC-ARRCO'!$J$6:$J$57))))</f>
        <v>1.9065000000000001</v>
      </c>
      <c r="BE91" s="69"/>
      <c r="BF91" s="69"/>
      <c r="BG91" s="71">
        <f t="shared" si="30"/>
        <v>1.8769166666666668</v>
      </c>
      <c r="BH91" s="71"/>
      <c r="BI91" s="71"/>
      <c r="BJ91" s="18">
        <f t="shared" si="31"/>
        <v>3140.0117980179334</v>
      </c>
      <c r="BL91" s="15">
        <v>2043</v>
      </c>
      <c r="BM91" s="22">
        <f>BM90*IF(Simulation!$D$35="SMPT",1+$E91,IF(Simulation!$D$35="PRIX",1+$B91))</f>
        <v>16604.342957257912</v>
      </c>
      <c r="BN91" s="23">
        <f>BN90*IF(Simulation!$D$35="SMPT",1+$E91,IF(Simulation!$D$35="PRIX",1+$B91))</f>
        <v>21707.325636793867</v>
      </c>
      <c r="BO91" s="23">
        <f>BO90*IF(Simulation!$D$35="SMPT",1+$E91,IF(Simulation!$D$35="PRIX",1+$B91))</f>
        <v>33689.000884352339</v>
      </c>
      <c r="BP91" s="5"/>
      <c r="BQ91" s="146">
        <v>0</v>
      </c>
      <c r="BR91" s="146">
        <v>4.2999999999999997E-2</v>
      </c>
      <c r="BS91" s="146">
        <v>7.3999999999999996E-2</v>
      </c>
      <c r="BT91" s="146">
        <v>9.0999999999999998E-2</v>
      </c>
      <c r="BV91" s="15">
        <v>2043</v>
      </c>
      <c r="BW91" s="22">
        <f>BW90*IF(Simulation!$D$35="SMPT",1+$E91,IF(Simulation!$D$35="PRIX",1+$B91))</f>
        <v>25471.24840042194</v>
      </c>
      <c r="BX91" s="23">
        <f>BX90*IF(Simulation!$D$35="SMPT",1+$E91,IF(Simulation!$D$35="PRIX",1+$B91))</f>
        <v>33298.926908848734</v>
      </c>
      <c r="BY91" s="23">
        <f>BY90*IF(Simulation!$D$35="SMPT",1+$E91,IF(Simulation!$D$35="PRIX",1+$B91))</f>
        <v>51676.068754776032</v>
      </c>
      <c r="BZ91" s="5"/>
      <c r="CA91" s="146">
        <v>0</v>
      </c>
      <c r="CB91" s="146">
        <f t="shared" si="41"/>
        <v>4.2999999999999997E-2</v>
      </c>
      <c r="CC91" s="146">
        <f t="shared" si="42"/>
        <v>7.3999999999999996E-2</v>
      </c>
      <c r="CD91" s="146">
        <f t="shared" si="43"/>
        <v>9.0999999999999998E-2</v>
      </c>
      <c r="CE91" s="146">
        <f t="shared" si="43"/>
        <v>3.2000000000000001E-2</v>
      </c>
      <c r="CG91" s="15">
        <v>2043</v>
      </c>
      <c r="CH91" s="317">
        <f t="shared" si="57"/>
        <v>9.1999999999999998E-2</v>
      </c>
      <c r="CI91" s="311">
        <f t="shared" si="25"/>
        <v>6.8000000000000005E-2</v>
      </c>
      <c r="CJ91" s="311">
        <f t="shared" si="26"/>
        <v>5.0000000000000001E-3</v>
      </c>
      <c r="CK91" s="311">
        <f t="shared" si="26"/>
        <v>0.98250000000000004</v>
      </c>
      <c r="CL91" s="313">
        <f t="shared" si="27"/>
        <v>0</v>
      </c>
      <c r="CM91" s="313">
        <v>0</v>
      </c>
      <c r="CN91" s="313">
        <v>0</v>
      </c>
      <c r="CO91" s="318">
        <f t="shared" si="28"/>
        <v>2.4000000000000001E-4</v>
      </c>
    </row>
    <row r="92" spans="1:93" x14ac:dyDescent="0.25">
      <c r="A92" s="15">
        <v>2044</v>
      </c>
      <c r="B92" s="54">
        <f>IF($F$1=1.8%,LOOKUP($A92,Prix!B$6:B$127,Prix!$G$6:$G$127),IF($F$1=1.5%,LOOKUP($A92,Prix!B$6:B$127,Prix!$H$6:$H$127),IF($F$1=1.3%,LOOKUP($A92,Prix!B$6:B$127,Prix!$I$6:$I$127),LOOKUP($A92,Prix!B$6:B$127,Prix!$J$6:$J$127))))</f>
        <v>1.7500000000000002E-2</v>
      </c>
      <c r="C92" s="7">
        <f t="shared" si="33"/>
        <v>1.4648577220533738</v>
      </c>
      <c r="D92" s="5">
        <f>IF($F$1=1.8%,LOOKUP($A92,SMPT!$B$6:$B$127,SMPT!$C$6:$C$127),IF($F$1=1.5%,LOOKUP($A92,SMPT!$B$6:$B$127,SMPT!$D$6:$D$127),IF($F$1=1.3%,LOOKUP($A92,SMPT!$B$6:$B$127,SMPT!$E$6:$E$127),LOOKUP($A92,SMPT!$B$6:$B$127,SMPT!$F$6:$F$127))))</f>
        <v>75199.440728999354</v>
      </c>
      <c r="E92" s="17">
        <f t="shared" si="34"/>
        <v>3.0727500000000019E-2</v>
      </c>
      <c r="F92" s="60">
        <f>IF($F$1=1.8%,LOOKUP($A92,SMIC!$B$6:$B$125,SMIC!$C$6:$C$125),IF($F$1=1.5%,LOOKUP($A92,SMIC!$B$6:$B$125,SMIC!$D$6:$D$125),IF($F$1=1.3%,LOOKUP($A92,SMIC!$B$6:$B$125,SMIC!$E$6:$E$125),LOOKUP($A92,SMIC!$B$6:$B$125,SMIC!$F$6:$F$125))))</f>
        <v>33431.055304348847</v>
      </c>
      <c r="G92" s="153">
        <f t="shared" si="29"/>
        <v>2.0474107644016581</v>
      </c>
      <c r="H92" s="357">
        <f t="shared" si="23"/>
        <v>3.0607512753130228E-2</v>
      </c>
      <c r="I92" s="15">
        <v>2044</v>
      </c>
      <c r="J92" s="13">
        <f t="shared" si="35"/>
        <v>38199.975033342169</v>
      </c>
      <c r="K92" s="65">
        <f t="shared" si="44"/>
        <v>0.17749999999999999</v>
      </c>
      <c r="L92" s="65">
        <f t="shared" si="36"/>
        <v>0.10450000000000001</v>
      </c>
      <c r="M92" s="65">
        <f t="shared" si="37"/>
        <v>7.2999999999999982E-2</v>
      </c>
      <c r="N92" s="65">
        <f t="shared" si="16"/>
        <v>2.3000000000000003E-2</v>
      </c>
      <c r="O92" s="65">
        <f>IF(Simulation!$D$43="Oui",$Q92,0)</f>
        <v>1.9000000000000003E-2</v>
      </c>
      <c r="P92" s="65">
        <f>IF(Simulation!$D$43="Oui",$R92,0)</f>
        <v>4.0000000000000001E-3</v>
      </c>
      <c r="Q92" s="678">
        <f t="shared" si="38"/>
        <v>1.9000000000000003E-2</v>
      </c>
      <c r="R92" s="678">
        <f t="shared" si="38"/>
        <v>4.0000000000000001E-3</v>
      </c>
      <c r="S92" s="56">
        <f>IF($F$1=1.8%,LOOKUP($A92,Sal_valid!$B$6:$B$127,Sal_valid!$C$6:$C$127),IF($F$1=1.5%,LOOKUP($A92,Sal_valid!$B$6:$B$127,Sal_valid!$D$6:$D$127),IF($F$1=1.3%,LOOKUP($A92,Sal_valid!$B$6:$B$127,Sal_valid!$E$6:$E$127),LOOKUP($A92,Sal_valid!$B$6:$B$127,Sal_valid!$F$6:$F$127))))</f>
        <v>2755.2090341531939</v>
      </c>
      <c r="T92" s="76">
        <f>IF(Simulation!$D$33="Prix",Revalo_RB!$D104,Barèmes!$E92)</f>
        <v>1.7500000000000002E-2</v>
      </c>
      <c r="U92" s="76">
        <f>IF(Simulation!$D$34="Prix",Revalo_RB!$H104,Barèmes!$E92)</f>
        <v>1.7500000000000002E-2</v>
      </c>
      <c r="V92" s="56">
        <f>IF($F$1=1.8%,LOOKUP($A92,PSS!$B$6:$B$127,PSS!$C$6:$C$127),IF($F$1=1.5%,LOOKUP($A92,PSS!$B$6:$B$127,PSS!$D$6:$D$127),IF($F$1=1.3%,LOOKUP($A92,PSS!$B$6:$B$127,PSS!$E$6:$E$127),LOOKUP($A92,PSS!$B$6:$B$127,PSS!$F$6:$F$127))))</f>
        <v>80004</v>
      </c>
      <c r="W92" s="56">
        <f>IF($F$1=1.8%,LOOKUP($A92,Smic_AVPF!$B$6:$B$104,Smic_AVPF!$C$6:$C$104),IF($F$1=1.5%,LOOKUP($A92,Smic_AVPF!$B$6:$B$104,Smic_AVPF!$D$6:$D$104),IF($F$1=1.3%,LOOKUP($A92,Smic_AVPF!$B$6:$B$104,Smic_AVPF!$E$6:$E$104),LOOKUP($A92,Smic_AVPF!$B$6:$B$104,Smic_AVPF!$F$6:$F$104))))</f>
        <v>36810.027014952153</v>
      </c>
      <c r="X92" s="56">
        <f>IF(Simulation!$D$32="SMPT",(1+$E92)*X91,IF(Simulation!$D$32="PRIX",Minima!$O41))</f>
        <v>11341.898775301463</v>
      </c>
      <c r="Y92" s="56">
        <f>IF(Simulation!$D$32="SMPT",(1+$E92)*Y91,IF(Simulation!$D$32="PRIX",Minima!$P41))</f>
        <v>12393.591414146707</v>
      </c>
      <c r="Z92" s="56">
        <f t="shared" si="45"/>
        <v>21144.020897288443</v>
      </c>
      <c r="AA92" s="58"/>
      <c r="AB92" s="15">
        <v>2044</v>
      </c>
      <c r="AC92" s="64">
        <f t="shared" si="46"/>
        <v>6.2E-2</v>
      </c>
      <c r="AD92" s="65">
        <f t="shared" si="39"/>
        <v>3.7200000000000004E-2</v>
      </c>
      <c r="AE92" s="65">
        <f t="shared" si="47"/>
        <v>2.4799999999999996E-2</v>
      </c>
      <c r="AF92" s="65">
        <f t="shared" si="48"/>
        <v>0.17</v>
      </c>
      <c r="AG92" s="65">
        <f t="shared" si="40"/>
        <v>0.10200000000000001</v>
      </c>
      <c r="AH92" s="65">
        <f t="shared" si="49"/>
        <v>6.8000000000000005E-2</v>
      </c>
      <c r="AI92" s="66">
        <f t="shared" si="50"/>
        <v>1.27</v>
      </c>
      <c r="AJ92" s="66"/>
      <c r="AK92" s="66"/>
      <c r="AL92" s="65">
        <f t="shared" si="20"/>
        <v>3.4999999999999996E-3</v>
      </c>
      <c r="AM92" s="65">
        <f>IF(Simulation!$D$42="Oui",Barèmes!$AO92,0)</f>
        <v>2.0999999999999999E-3</v>
      </c>
      <c r="AN92" s="65">
        <f>IF(Simulation!$D$42="Oui",Barèmes!$AP92,0)</f>
        <v>1.3999999999999998E-3</v>
      </c>
      <c r="AO92" s="678">
        <f t="shared" si="51"/>
        <v>2.0999999999999999E-3</v>
      </c>
      <c r="AP92" s="678">
        <f t="shared" si="52"/>
        <v>1.3999999999999998E-3</v>
      </c>
      <c r="AQ92" s="65">
        <f t="shared" si="15"/>
        <v>2.1499999999999998E-2</v>
      </c>
      <c r="AR92" s="65">
        <f>IF(Simulation!$D$42="Oui",Barèmes!$AT92,0)</f>
        <v>1.29E-2</v>
      </c>
      <c r="AS92" s="65">
        <f>IF(Simulation!$D$42="Oui",Barèmes!$AU92,0)</f>
        <v>8.6E-3</v>
      </c>
      <c r="AT92" s="678">
        <f t="shared" si="53"/>
        <v>1.29E-2</v>
      </c>
      <c r="AU92" s="678">
        <f t="shared" si="54"/>
        <v>8.6E-3</v>
      </c>
      <c r="AV92" s="65">
        <f t="shared" si="21"/>
        <v>2.7000000000000003E-2</v>
      </c>
      <c r="AW92" s="65">
        <f>IF(Simulation!$D$42="Oui",Barèmes!$AY92,0)</f>
        <v>1.6200000000000003E-2</v>
      </c>
      <c r="AX92" s="65">
        <f>IF(Simulation!$D$42="Oui",Barèmes!$AZ92,0)</f>
        <v>1.0800000000000001E-2</v>
      </c>
      <c r="AY92" s="678">
        <f t="shared" si="55"/>
        <v>1.6200000000000003E-2</v>
      </c>
      <c r="AZ92" s="678">
        <f t="shared" si="56"/>
        <v>1.0800000000000001E-2</v>
      </c>
      <c r="BA92" s="69">
        <f>IF($F$1=1.8%,LOOKUP($A92,'AGIRC-ARRCO'!$B$6:$B$57,'AGIRC-ARRCO'!$C$6:$C$57),IF($F$1=1.5%,LOOKUP($A92,'AGIRC-ARRCO'!$B$6:$B$57,'AGIRC-ARRCO'!$D$6:$D$57),IF($F$1=1.3%,LOOKUP($A92,'AGIRC-ARRCO'!$B$6:$B$57,'AGIRC-ARRCO'!$E$6:$E$57),LOOKUP($A92,'AGIRC-ARRCO'!$B$6:$B$57,'AGIRC-ARRCO'!$F$6:$F$57))))</f>
        <v>29.865500000000001</v>
      </c>
      <c r="BB92" s="69"/>
      <c r="BC92" s="69"/>
      <c r="BD92" s="69">
        <f>IF($F$1=1.8%,LOOKUP($A92,'AGIRC-ARRCO'!$B$6:$B$57,'AGIRC-ARRCO'!$G$6:$G$57),IF($F$1=1.5%,LOOKUP($A92,'AGIRC-ARRCO'!$B$6:$B$57,'AGIRC-ARRCO'!$H$6:$H$57),IF($F$1=1.3%,LOOKUP($A92,'AGIRC-ARRCO'!$B$6:$B$57,'AGIRC-ARRCO'!$I$6:$I$57),LOOKUP($A92,'AGIRC-ARRCO'!$B$6:$B$57,'AGIRC-ARRCO'!$J$6:$J$57))))</f>
        <v>1.9427000000000001</v>
      </c>
      <c r="BE92" s="69"/>
      <c r="BF92" s="69"/>
      <c r="BG92" s="71">
        <f t="shared" si="30"/>
        <v>1.9125333333333334</v>
      </c>
      <c r="BH92" s="71"/>
      <c r="BI92" s="71"/>
      <c r="BJ92" s="18">
        <f t="shared" si="31"/>
        <v>3199.6333176026433</v>
      </c>
      <c r="BL92" s="15">
        <v>2044</v>
      </c>
      <c r="BM92" s="22">
        <f>BM91*IF(Simulation!$D$35="SMPT",1+$E92,IF(Simulation!$D$35="PRIX",1+$B92))</f>
        <v>16894.918959009927</v>
      </c>
      <c r="BN92" s="23">
        <f>BN91*IF(Simulation!$D$35="SMPT",1+$E92,IF(Simulation!$D$35="PRIX",1+$B92))</f>
        <v>22087.203835437762</v>
      </c>
      <c r="BO92" s="23">
        <f>BO91*IF(Simulation!$D$35="SMPT",1+$E92,IF(Simulation!$D$35="PRIX",1+$B92))</f>
        <v>34278.558399828507</v>
      </c>
      <c r="BP92" s="5"/>
      <c r="BQ92" s="146">
        <v>0</v>
      </c>
      <c r="BR92" s="146">
        <v>4.2999999999999997E-2</v>
      </c>
      <c r="BS92" s="146">
        <v>7.3999999999999996E-2</v>
      </c>
      <c r="BT92" s="146">
        <v>9.0999999999999998E-2</v>
      </c>
      <c r="BV92" s="15">
        <v>2044</v>
      </c>
      <c r="BW92" s="22">
        <f>BW91*IF(Simulation!$D$35="SMPT",1+$E92,IF(Simulation!$D$35="PRIX",1+$B92))</f>
        <v>25916.995247429328</v>
      </c>
      <c r="BX92" s="23">
        <f>BX91*IF(Simulation!$D$35="SMPT",1+$E92,IF(Simulation!$D$35="PRIX",1+$B92))</f>
        <v>33881.658129753589</v>
      </c>
      <c r="BY92" s="23">
        <f>BY91*IF(Simulation!$D$35="SMPT",1+$E92,IF(Simulation!$D$35="PRIX",1+$B92))</f>
        <v>52580.399957984613</v>
      </c>
      <c r="BZ92" s="5"/>
      <c r="CA92" s="146">
        <v>0</v>
      </c>
      <c r="CB92" s="146">
        <f t="shared" si="41"/>
        <v>4.2999999999999997E-2</v>
      </c>
      <c r="CC92" s="146">
        <f t="shared" si="42"/>
        <v>7.3999999999999996E-2</v>
      </c>
      <c r="CD92" s="146">
        <f t="shared" si="43"/>
        <v>9.0999999999999998E-2</v>
      </c>
      <c r="CE92" s="146">
        <f t="shared" si="43"/>
        <v>3.2000000000000001E-2</v>
      </c>
      <c r="CG92" s="15">
        <v>2044</v>
      </c>
      <c r="CH92" s="317">
        <f t="shared" si="57"/>
        <v>9.1999999999999998E-2</v>
      </c>
      <c r="CI92" s="311">
        <f t="shared" si="25"/>
        <v>6.8000000000000005E-2</v>
      </c>
      <c r="CJ92" s="311">
        <f t="shared" si="26"/>
        <v>5.0000000000000001E-3</v>
      </c>
      <c r="CK92" s="311">
        <f t="shared" si="26"/>
        <v>0.98250000000000004</v>
      </c>
      <c r="CL92" s="313">
        <f t="shared" si="27"/>
        <v>0</v>
      </c>
      <c r="CM92" s="313">
        <v>0</v>
      </c>
      <c r="CN92" s="313">
        <v>0</v>
      </c>
      <c r="CO92" s="318">
        <f t="shared" si="28"/>
        <v>2.4000000000000001E-4</v>
      </c>
    </row>
    <row r="93" spans="1:93" x14ac:dyDescent="0.25">
      <c r="A93" s="15">
        <v>2045</v>
      </c>
      <c r="B93" s="54">
        <f>IF($F$1=1.8%,LOOKUP($A93,Prix!B$6:B$127,Prix!$G$6:$G$127),IF($F$1=1.5%,LOOKUP($A93,Prix!B$6:B$127,Prix!$H$6:$H$127),IF($F$1=1.3%,LOOKUP($A93,Prix!B$6:B$127,Prix!$I$6:$I$127),LOOKUP($A93,Prix!B$6:B$127,Prix!$J$6:$J$127))))</f>
        <v>1.7500000000000002E-2</v>
      </c>
      <c r="C93" s="7">
        <f t="shared" si="33"/>
        <v>1.490492732189308</v>
      </c>
      <c r="D93" s="5">
        <f>IF($F$1=1.8%,LOOKUP($A93,SMPT!$B$6:$B$127,SMPT!$C$6:$C$127),IF($F$1=1.5%,LOOKUP($A93,SMPT!$B$6:$B$127,SMPT!$D$6:$D$127),IF($F$1=1.3%,LOOKUP($A93,SMPT!$B$6:$B$127,SMPT!$E$6:$E$127),LOOKUP($A93,SMPT!$B$6:$B$127,SMPT!$F$6:$F$127))))</f>
        <v>77510.131543999683</v>
      </c>
      <c r="E93" s="17">
        <f t="shared" si="34"/>
        <v>3.0727500000000019E-2</v>
      </c>
      <c r="F93" s="60">
        <f>IF($F$1=1.8%,LOOKUP($A93,SMIC!$B$6:$B$125,SMIC!$C$6:$C$125),IF($F$1=1.5%,LOOKUP($A93,SMIC!$B$6:$B$125,SMIC!$D$6:$D$125),IF($F$1=1.3%,LOOKUP($A93,SMIC!$B$6:$B$125,SMIC!$E$6:$E$125),LOOKUP($A93,SMIC!$B$6:$B$125,SMIC!$F$6:$F$125))))</f>
        <v>34458.308056213224</v>
      </c>
      <c r="G93" s="153">
        <f t="shared" si="29"/>
        <v>2.1103225786648103</v>
      </c>
      <c r="H93" s="357">
        <f t="shared" si="23"/>
        <v>3.0598470076496076E-2</v>
      </c>
      <c r="I93" s="15">
        <v>2045</v>
      </c>
      <c r="J93" s="13">
        <f t="shared" si="35"/>
        <v>39373.764766179193</v>
      </c>
      <c r="K93" s="65">
        <f t="shared" si="44"/>
        <v>0.17749999999999999</v>
      </c>
      <c r="L93" s="65">
        <f t="shared" si="36"/>
        <v>0.10450000000000001</v>
      </c>
      <c r="M93" s="65">
        <f t="shared" si="37"/>
        <v>7.2999999999999982E-2</v>
      </c>
      <c r="N93" s="65">
        <f t="shared" si="16"/>
        <v>2.3000000000000003E-2</v>
      </c>
      <c r="O93" s="65">
        <f>IF(Simulation!$D$43="Oui",$Q93,0)</f>
        <v>1.9000000000000003E-2</v>
      </c>
      <c r="P93" s="65">
        <f>IF(Simulation!$D$43="Oui",$R93,0)</f>
        <v>4.0000000000000001E-3</v>
      </c>
      <c r="Q93" s="678">
        <f t="shared" si="38"/>
        <v>1.9000000000000003E-2</v>
      </c>
      <c r="R93" s="678">
        <f t="shared" si="38"/>
        <v>4.0000000000000001E-3</v>
      </c>
      <c r="S93" s="56">
        <f>IF($F$1=1.8%,LOOKUP($A93,Sal_valid!$B$6:$B$127,Sal_valid!$C$6:$C$127),IF($F$1=1.5%,LOOKUP($A93,Sal_valid!$B$6:$B$127,Sal_valid!$D$6:$D$127),IF($F$1=1.3%,LOOKUP($A93,Sal_valid!$B$6:$B$127,Sal_valid!$E$6:$E$127),LOOKUP($A93,Sal_valid!$B$6:$B$127,Sal_valid!$F$6:$F$127))))</f>
        <v>2839.8697197501365</v>
      </c>
      <c r="T93" s="76">
        <f>IF(Simulation!$D$33="Prix",Revalo_RB!$D105,Barèmes!$E93)</f>
        <v>1.7500000000000002E-2</v>
      </c>
      <c r="U93" s="76">
        <f>IF(Simulation!$D$34="Prix",Revalo_RB!$H105,Barèmes!$E93)</f>
        <v>1.7500000000000002E-2</v>
      </c>
      <c r="V93" s="56">
        <f>IF($F$1=1.8%,LOOKUP($A93,PSS!$B$6:$B$127,PSS!$C$6:$C$127),IF($F$1=1.5%,LOOKUP($A93,PSS!$B$6:$B$127,PSS!$D$6:$D$127),IF($F$1=1.3%,LOOKUP($A93,PSS!$B$6:$B$127,PSS!$E$6:$E$127),LOOKUP($A93,PSS!$B$6:$B$127,PSS!$F$6:$F$127))))</f>
        <v>82452</v>
      </c>
      <c r="W93" s="56">
        <f>IF($F$1=1.8%,LOOKUP($A93,Smic_AVPF!$B$6:$B$104,Smic_AVPF!$C$6:$C$104),IF($F$1=1.5%,LOOKUP($A93,Smic_AVPF!$B$6:$B$104,Smic_AVPF!$D$6:$D$104),IF($F$1=1.3%,LOOKUP($A93,Smic_AVPF!$B$6:$B$104,Smic_AVPF!$E$6:$E$104),LOOKUP($A93,Smic_AVPF!$B$6:$B$104,Smic_AVPF!$F$6:$F$104))))</f>
        <v>37941.10712005409</v>
      </c>
      <c r="X93" s="56">
        <f>IF(Simulation!$D$32="SMPT",(1+$E93)*X92,IF(Simulation!$D$32="PRIX",Minima!$O42))</f>
        <v>11540.382003869239</v>
      </c>
      <c r="Y93" s="56">
        <f>IF(Simulation!$D$32="SMPT",(1+$E93)*Y92,IF(Simulation!$D$32="PRIX",Minima!$P42))</f>
        <v>12610.479263894276</v>
      </c>
      <c r="Z93" s="56">
        <f t="shared" si="45"/>
        <v>21514.041262990992</v>
      </c>
      <c r="AA93" s="58"/>
      <c r="AB93" s="15">
        <v>2045</v>
      </c>
      <c r="AC93" s="64">
        <f t="shared" si="46"/>
        <v>6.2E-2</v>
      </c>
      <c r="AD93" s="65">
        <f t="shared" si="39"/>
        <v>3.7200000000000004E-2</v>
      </c>
      <c r="AE93" s="65">
        <f t="shared" si="47"/>
        <v>2.4799999999999996E-2</v>
      </c>
      <c r="AF93" s="65">
        <f t="shared" si="48"/>
        <v>0.17</v>
      </c>
      <c r="AG93" s="65">
        <f t="shared" si="40"/>
        <v>0.10200000000000001</v>
      </c>
      <c r="AH93" s="65">
        <f t="shared" si="49"/>
        <v>6.8000000000000005E-2</v>
      </c>
      <c r="AI93" s="66">
        <f t="shared" si="50"/>
        <v>1.27</v>
      </c>
      <c r="AJ93" s="66"/>
      <c r="AK93" s="66"/>
      <c r="AL93" s="65">
        <f t="shared" si="20"/>
        <v>3.4999999999999996E-3</v>
      </c>
      <c r="AM93" s="65">
        <f>IF(Simulation!$D$42="Oui",Barèmes!$AO93,0)</f>
        <v>2.0999999999999999E-3</v>
      </c>
      <c r="AN93" s="65">
        <f>IF(Simulation!$D$42="Oui",Barèmes!$AP93,0)</f>
        <v>1.3999999999999998E-3</v>
      </c>
      <c r="AO93" s="678">
        <f t="shared" si="51"/>
        <v>2.0999999999999999E-3</v>
      </c>
      <c r="AP93" s="678">
        <f t="shared" si="52"/>
        <v>1.3999999999999998E-3</v>
      </c>
      <c r="AQ93" s="65">
        <f t="shared" si="15"/>
        <v>2.1499999999999998E-2</v>
      </c>
      <c r="AR93" s="65">
        <f>IF(Simulation!$D$42="Oui",Barèmes!$AT93,0)</f>
        <v>1.29E-2</v>
      </c>
      <c r="AS93" s="65">
        <f>IF(Simulation!$D$42="Oui",Barèmes!$AU93,0)</f>
        <v>8.6E-3</v>
      </c>
      <c r="AT93" s="678">
        <f t="shared" si="53"/>
        <v>1.29E-2</v>
      </c>
      <c r="AU93" s="678">
        <f t="shared" si="54"/>
        <v>8.6E-3</v>
      </c>
      <c r="AV93" s="65">
        <f t="shared" si="21"/>
        <v>2.7000000000000003E-2</v>
      </c>
      <c r="AW93" s="65">
        <f>IF(Simulation!$D$42="Oui",Barèmes!$AY93,0)</f>
        <v>1.6200000000000003E-2</v>
      </c>
      <c r="AX93" s="65">
        <f>IF(Simulation!$D$42="Oui",Barèmes!$AZ93,0)</f>
        <v>1.0800000000000001E-2</v>
      </c>
      <c r="AY93" s="678">
        <f t="shared" si="55"/>
        <v>1.6200000000000003E-2</v>
      </c>
      <c r="AZ93" s="678">
        <f t="shared" si="56"/>
        <v>1.0800000000000001E-2</v>
      </c>
      <c r="BA93" s="69">
        <f>IF($F$1=1.8%,LOOKUP($A93,'AGIRC-ARRCO'!$B$6:$B$57,'AGIRC-ARRCO'!$C$6:$C$57),IF($F$1=1.5%,LOOKUP($A93,'AGIRC-ARRCO'!$B$6:$B$57,'AGIRC-ARRCO'!$D$6:$D$57),IF($F$1=1.3%,LOOKUP($A93,'AGIRC-ARRCO'!$B$6:$B$57,'AGIRC-ARRCO'!$E$6:$E$57),LOOKUP($A93,'AGIRC-ARRCO'!$B$6:$B$57,'AGIRC-ARRCO'!$F$6:$F$57))))</f>
        <v>30.4329</v>
      </c>
      <c r="BB93" s="69"/>
      <c r="BC93" s="69"/>
      <c r="BD93" s="69">
        <f>IF($F$1=1.8%,LOOKUP($A93,'AGIRC-ARRCO'!$B$6:$B$57,'AGIRC-ARRCO'!$G$6:$G$57),IF($F$1=1.5%,LOOKUP($A93,'AGIRC-ARRCO'!$B$6:$B$57,'AGIRC-ARRCO'!$H$6:$H$57),IF($F$1=1.3%,LOOKUP($A93,'AGIRC-ARRCO'!$B$6:$B$57,'AGIRC-ARRCO'!$I$6:$I$57),LOOKUP($A93,'AGIRC-ARRCO'!$B$6:$B$57,'AGIRC-ARRCO'!$J$6:$J$57))))</f>
        <v>1.9796</v>
      </c>
      <c r="BE93" s="69"/>
      <c r="BF93" s="69"/>
      <c r="BG93" s="71">
        <f t="shared" si="30"/>
        <v>1.9488500000000002</v>
      </c>
      <c r="BH93" s="71"/>
      <c r="BI93" s="71"/>
      <c r="BJ93" s="18">
        <f t="shared" si="31"/>
        <v>3260.4077394997648</v>
      </c>
      <c r="BL93" s="15">
        <v>2045</v>
      </c>
      <c r="BM93" s="22">
        <f>BM92*IF(Simulation!$D$35="SMPT",1+$E93,IF(Simulation!$D$35="PRIX",1+$B93))</f>
        <v>17190.5800407926</v>
      </c>
      <c r="BN93" s="23">
        <f>BN92*IF(Simulation!$D$35="SMPT",1+$E93,IF(Simulation!$D$35="PRIX",1+$B93))</f>
        <v>22473.729902557923</v>
      </c>
      <c r="BO93" s="23">
        <f>BO92*IF(Simulation!$D$35="SMPT",1+$E93,IF(Simulation!$D$35="PRIX",1+$B93))</f>
        <v>34878.433171825505</v>
      </c>
      <c r="BP93" s="5"/>
      <c r="BQ93" s="146">
        <v>0</v>
      </c>
      <c r="BR93" s="146">
        <v>4.2999999999999997E-2</v>
      </c>
      <c r="BS93" s="146">
        <v>7.3999999999999996E-2</v>
      </c>
      <c r="BT93" s="146">
        <v>9.0999999999999998E-2</v>
      </c>
      <c r="BV93" s="15">
        <v>2045</v>
      </c>
      <c r="BW93" s="22">
        <f>BW92*IF(Simulation!$D$35="SMPT",1+$E93,IF(Simulation!$D$35="PRIX",1+$B93))</f>
        <v>26370.542664259341</v>
      </c>
      <c r="BX93" s="23">
        <f>BX92*IF(Simulation!$D$35="SMPT",1+$E93,IF(Simulation!$D$35="PRIX",1+$B93))</f>
        <v>34474.587147024278</v>
      </c>
      <c r="BY93" s="23">
        <f>BY92*IF(Simulation!$D$35="SMPT",1+$E93,IF(Simulation!$D$35="PRIX",1+$B93))</f>
        <v>53500.556957249348</v>
      </c>
      <c r="BZ93" s="5"/>
      <c r="CA93" s="146">
        <v>0</v>
      </c>
      <c r="CB93" s="146">
        <f t="shared" si="41"/>
        <v>4.2999999999999997E-2</v>
      </c>
      <c r="CC93" s="146">
        <f t="shared" si="42"/>
        <v>7.3999999999999996E-2</v>
      </c>
      <c r="CD93" s="146">
        <f t="shared" si="43"/>
        <v>9.0999999999999998E-2</v>
      </c>
      <c r="CE93" s="146">
        <f t="shared" si="43"/>
        <v>3.2000000000000001E-2</v>
      </c>
      <c r="CG93" s="15">
        <v>2045</v>
      </c>
      <c r="CH93" s="317">
        <f t="shared" si="57"/>
        <v>9.1999999999999998E-2</v>
      </c>
      <c r="CI93" s="311">
        <f t="shared" si="25"/>
        <v>6.8000000000000005E-2</v>
      </c>
      <c r="CJ93" s="311">
        <f t="shared" si="26"/>
        <v>5.0000000000000001E-3</v>
      </c>
      <c r="CK93" s="311">
        <f t="shared" si="26"/>
        <v>0.98250000000000004</v>
      </c>
      <c r="CL93" s="313">
        <f t="shared" si="27"/>
        <v>0</v>
      </c>
      <c r="CM93" s="313">
        <v>0</v>
      </c>
      <c r="CN93" s="313">
        <v>0</v>
      </c>
      <c r="CO93" s="318">
        <f t="shared" si="28"/>
        <v>2.4000000000000001E-4</v>
      </c>
    </row>
    <row r="94" spans="1:93" x14ac:dyDescent="0.25">
      <c r="A94" s="15">
        <v>2046</v>
      </c>
      <c r="B94" s="54">
        <f>IF($F$1=1.8%,LOOKUP($A94,Prix!B$6:B$127,Prix!$G$6:$G$127),IF($F$1=1.5%,LOOKUP($A94,Prix!B$6:B$127,Prix!$H$6:$H$127),IF($F$1=1.3%,LOOKUP($A94,Prix!B$6:B$127,Prix!$I$6:$I$127),LOOKUP($A94,Prix!B$6:B$127,Prix!$J$6:$J$127))))</f>
        <v>1.7500000000000002E-2</v>
      </c>
      <c r="C94" s="7">
        <f t="shared" si="33"/>
        <v>1.516576355002621</v>
      </c>
      <c r="D94" s="5">
        <f>IF($F$1=1.8%,LOOKUP($A94,SMPT!$B$6:$B$127,SMPT!$C$6:$C$127),IF($F$1=1.5%,LOOKUP($A94,SMPT!$B$6:$B$127,SMPT!$D$6:$D$127),IF($F$1=1.3%,LOOKUP($A94,SMPT!$B$6:$B$127,SMPT!$E$6:$E$127),LOOKUP($A94,SMPT!$B$6:$B$127,SMPT!$F$6:$F$127))))</f>
        <v>79891.824111017937</v>
      </c>
      <c r="E94" s="17">
        <f t="shared" si="34"/>
        <v>3.0727500000000019E-2</v>
      </c>
      <c r="F94" s="60">
        <f>IF($F$1=1.8%,LOOKUP($A94,SMIC!$B$6:$B$125,SMIC!$C$6:$C$125),IF($F$1=1.5%,LOOKUP($A94,SMIC!$B$6:$B$125,SMIC!$D$6:$D$125),IF($F$1=1.3%,LOOKUP($A94,SMIC!$B$6:$B$125,SMIC!$E$6:$E$125),LOOKUP($A94,SMIC!$B$6:$B$125,SMIC!$F$6:$F$125))))</f>
        <v>35517.125717010509</v>
      </c>
      <c r="G94" s="153">
        <f t="shared" si="29"/>
        <v>2.1751675157007333</v>
      </c>
      <c r="H94" s="357">
        <f t="shared" si="23"/>
        <v>3.0563236792315429E-2</v>
      </c>
      <c r="I94" s="15">
        <v>2046</v>
      </c>
      <c r="J94" s="13">
        <f t="shared" si="35"/>
        <v>40583.622123031957</v>
      </c>
      <c r="K94" s="65">
        <f t="shared" si="44"/>
        <v>0.17749999999999999</v>
      </c>
      <c r="L94" s="65">
        <f t="shared" si="36"/>
        <v>0.10450000000000001</v>
      </c>
      <c r="M94" s="65">
        <f t="shared" si="37"/>
        <v>7.2999999999999982E-2</v>
      </c>
      <c r="N94" s="65">
        <f t="shared" si="16"/>
        <v>2.3000000000000003E-2</v>
      </c>
      <c r="O94" s="65">
        <f>IF(Simulation!$D$43="Oui",$Q94,0)</f>
        <v>1.9000000000000003E-2</v>
      </c>
      <c r="P94" s="65">
        <f>IF(Simulation!$D$43="Oui",$R94,0)</f>
        <v>4.0000000000000001E-3</v>
      </c>
      <c r="Q94" s="678">
        <f t="shared" si="38"/>
        <v>1.9000000000000003E-2</v>
      </c>
      <c r="R94" s="678">
        <f t="shared" si="38"/>
        <v>4.0000000000000001E-3</v>
      </c>
      <c r="S94" s="56">
        <f>IF($F$1=1.8%,LOOKUP($A94,Sal_valid!$B$6:$B$127,Sal_valid!$C$6:$C$127),IF($F$1=1.5%,LOOKUP($A94,Sal_valid!$B$6:$B$127,Sal_valid!$D$6:$D$127),IF($F$1=1.3%,LOOKUP($A94,Sal_valid!$B$6:$B$127,Sal_valid!$E$6:$E$127),LOOKUP($A94,Sal_valid!$B$6:$B$127,Sal_valid!$F$6:$F$127))))</f>
        <v>2927.1318165637581</v>
      </c>
      <c r="T94" s="76">
        <f>IF(Simulation!$D$33="Prix",Revalo_RB!$D106,Barèmes!$E94)</f>
        <v>1.7500000000000002E-2</v>
      </c>
      <c r="U94" s="76">
        <f>IF(Simulation!$D$34="Prix",Revalo_RB!$H106,Barèmes!$E94)</f>
        <v>1.7500000000000002E-2</v>
      </c>
      <c r="V94" s="56">
        <f>IF($F$1=1.8%,LOOKUP($A94,PSS!$B$6:$B$127,PSS!$C$6:$C$127),IF($F$1=1.5%,LOOKUP($A94,PSS!$B$6:$B$127,PSS!$D$6:$D$127),IF($F$1=1.3%,LOOKUP($A94,PSS!$B$6:$B$127,PSS!$E$6:$E$127),LOOKUP($A94,PSS!$B$6:$B$127,PSS!$F$6:$F$127))))</f>
        <v>84972</v>
      </c>
      <c r="W94" s="56">
        <f>IF($F$1=1.8%,LOOKUP($A94,Smic_AVPF!$B$6:$B$104,Smic_AVPF!$C$6:$C$104),IF($F$1=1.5%,LOOKUP($A94,Smic_AVPF!$B$6:$B$104,Smic_AVPF!$D$6:$D$104),IF($F$1=1.3%,LOOKUP($A94,Smic_AVPF!$B$6:$B$104,Smic_AVPF!$E$6:$E$104),LOOKUP($A94,Smic_AVPF!$B$6:$B$104,Smic_AVPF!$F$6:$F$104))))</f>
        <v>39106.942489085559</v>
      </c>
      <c r="X94" s="56">
        <f>IF(Simulation!$D$32="SMPT",(1+$E94)*X93,IF(Simulation!$D$32="PRIX",Minima!$O43))</f>
        <v>11742.338688936952</v>
      </c>
      <c r="Y94" s="56">
        <f>IF(Simulation!$D$32="SMPT",(1+$E94)*Y93,IF(Simulation!$D$32="PRIX",Minima!$P43))</f>
        <v>12831.162651012428</v>
      </c>
      <c r="Z94" s="56">
        <f t="shared" si="45"/>
        <v>21890.536985093335</v>
      </c>
      <c r="AA94" s="58"/>
      <c r="AB94" s="15">
        <v>2046</v>
      </c>
      <c r="AC94" s="64">
        <f t="shared" si="46"/>
        <v>6.2E-2</v>
      </c>
      <c r="AD94" s="65">
        <f t="shared" si="39"/>
        <v>3.7200000000000004E-2</v>
      </c>
      <c r="AE94" s="65">
        <f t="shared" si="47"/>
        <v>2.4799999999999996E-2</v>
      </c>
      <c r="AF94" s="65">
        <f t="shared" si="48"/>
        <v>0.17</v>
      </c>
      <c r="AG94" s="65">
        <f t="shared" si="40"/>
        <v>0.10200000000000001</v>
      </c>
      <c r="AH94" s="65">
        <f t="shared" si="49"/>
        <v>6.8000000000000005E-2</v>
      </c>
      <c r="AI94" s="66">
        <f t="shared" si="50"/>
        <v>1.27</v>
      </c>
      <c r="AJ94" s="66"/>
      <c r="AK94" s="66"/>
      <c r="AL94" s="65">
        <f t="shared" si="20"/>
        <v>3.4999999999999996E-3</v>
      </c>
      <c r="AM94" s="65">
        <f>IF(Simulation!$D$42="Oui",Barèmes!$AO94,0)</f>
        <v>2.0999999999999999E-3</v>
      </c>
      <c r="AN94" s="65">
        <f>IF(Simulation!$D$42="Oui",Barèmes!$AP94,0)</f>
        <v>1.3999999999999998E-3</v>
      </c>
      <c r="AO94" s="678">
        <f t="shared" si="51"/>
        <v>2.0999999999999999E-3</v>
      </c>
      <c r="AP94" s="678">
        <f t="shared" si="52"/>
        <v>1.3999999999999998E-3</v>
      </c>
      <c r="AQ94" s="65">
        <f t="shared" si="15"/>
        <v>2.1499999999999998E-2</v>
      </c>
      <c r="AR94" s="65">
        <f>IF(Simulation!$D$42="Oui",Barèmes!$AT94,0)</f>
        <v>1.29E-2</v>
      </c>
      <c r="AS94" s="65">
        <f>IF(Simulation!$D$42="Oui",Barèmes!$AU94,0)</f>
        <v>8.6E-3</v>
      </c>
      <c r="AT94" s="678">
        <f t="shared" si="53"/>
        <v>1.29E-2</v>
      </c>
      <c r="AU94" s="678">
        <f t="shared" si="54"/>
        <v>8.6E-3</v>
      </c>
      <c r="AV94" s="65">
        <f t="shared" si="21"/>
        <v>2.7000000000000003E-2</v>
      </c>
      <c r="AW94" s="65">
        <f>IF(Simulation!$D$42="Oui",Barèmes!$AY94,0)</f>
        <v>1.6200000000000003E-2</v>
      </c>
      <c r="AX94" s="65">
        <f>IF(Simulation!$D$42="Oui",Barèmes!$AZ94,0)</f>
        <v>1.0800000000000001E-2</v>
      </c>
      <c r="AY94" s="678">
        <f t="shared" si="55"/>
        <v>1.6200000000000003E-2</v>
      </c>
      <c r="AZ94" s="678">
        <f t="shared" si="56"/>
        <v>1.0800000000000001E-2</v>
      </c>
      <c r="BA94" s="69">
        <f>IF($F$1=1.8%,LOOKUP($A94,'AGIRC-ARRCO'!$B$6:$B$57,'AGIRC-ARRCO'!$C$6:$C$57),IF($F$1=1.5%,LOOKUP($A94,'AGIRC-ARRCO'!$B$6:$B$57,'AGIRC-ARRCO'!$D$6:$D$57),IF($F$1=1.3%,LOOKUP($A94,'AGIRC-ARRCO'!$B$6:$B$57,'AGIRC-ARRCO'!$E$6:$E$57),LOOKUP($A94,'AGIRC-ARRCO'!$B$6:$B$57,'AGIRC-ARRCO'!$F$6:$F$57))))</f>
        <v>31.011099999999999</v>
      </c>
      <c r="BB94" s="69"/>
      <c r="BC94" s="69"/>
      <c r="BD94" s="69">
        <f>IF($F$1=1.8%,LOOKUP($A94,'AGIRC-ARRCO'!$B$6:$B$57,'AGIRC-ARRCO'!$G$6:$G$57),IF($F$1=1.5%,LOOKUP($A94,'AGIRC-ARRCO'!$B$6:$B$57,'AGIRC-ARRCO'!$H$6:$H$57),IF($F$1=1.3%,LOOKUP($A94,'AGIRC-ARRCO'!$B$6:$B$57,'AGIRC-ARRCO'!$I$6:$I$57),LOOKUP($A94,'AGIRC-ARRCO'!$B$6:$B$57,'AGIRC-ARRCO'!$J$6:$J$57))))</f>
        <v>2.0173000000000001</v>
      </c>
      <c r="BE94" s="69"/>
      <c r="BF94" s="69"/>
      <c r="BG94" s="71">
        <f t="shared" si="30"/>
        <v>1.9858833333333334</v>
      </c>
      <c r="BH94" s="71"/>
      <c r="BI94" s="71"/>
      <c r="BJ94" s="18">
        <f t="shared" si="31"/>
        <v>3322.4997640396423</v>
      </c>
      <c r="BL94" s="15">
        <v>2046</v>
      </c>
      <c r="BM94" s="22">
        <f>BM93*IF(Simulation!$D$35="SMPT",1+$E94,IF(Simulation!$D$35="PRIX",1+$B94))</f>
        <v>17491.415191506472</v>
      </c>
      <c r="BN94" s="23">
        <f>BN93*IF(Simulation!$D$35="SMPT",1+$E94,IF(Simulation!$D$35="PRIX",1+$B94))</f>
        <v>22867.020175852689</v>
      </c>
      <c r="BO94" s="23">
        <f>BO93*IF(Simulation!$D$35="SMPT",1+$E94,IF(Simulation!$D$35="PRIX",1+$B94))</f>
        <v>35488.805752332453</v>
      </c>
      <c r="BP94" s="5"/>
      <c r="BQ94" s="146">
        <v>0</v>
      </c>
      <c r="BR94" s="146">
        <v>4.2999999999999997E-2</v>
      </c>
      <c r="BS94" s="146">
        <v>7.3999999999999996E-2</v>
      </c>
      <c r="BT94" s="146">
        <v>9.0999999999999998E-2</v>
      </c>
      <c r="BV94" s="15">
        <v>2046</v>
      </c>
      <c r="BW94" s="22">
        <f>BW93*IF(Simulation!$D$35="SMPT",1+$E94,IF(Simulation!$D$35="PRIX",1+$B94))</f>
        <v>26832.027160883881</v>
      </c>
      <c r="BX94" s="23">
        <f>BX93*IF(Simulation!$D$35="SMPT",1+$E94,IF(Simulation!$D$35="PRIX",1+$B94))</f>
        <v>35077.892422097204</v>
      </c>
      <c r="BY94" s="23">
        <f>BY93*IF(Simulation!$D$35="SMPT",1+$E94,IF(Simulation!$D$35="PRIX",1+$B94))</f>
        <v>54436.816704001212</v>
      </c>
      <c r="BZ94" s="5"/>
      <c r="CA94" s="146">
        <v>0</v>
      </c>
      <c r="CB94" s="146">
        <f t="shared" si="41"/>
        <v>4.2999999999999997E-2</v>
      </c>
      <c r="CC94" s="146">
        <f t="shared" si="42"/>
        <v>7.3999999999999996E-2</v>
      </c>
      <c r="CD94" s="146">
        <f t="shared" si="43"/>
        <v>9.0999999999999998E-2</v>
      </c>
      <c r="CE94" s="146">
        <f t="shared" si="43"/>
        <v>3.2000000000000001E-2</v>
      </c>
      <c r="CG94" s="15">
        <v>2046</v>
      </c>
      <c r="CH94" s="317">
        <f t="shared" si="57"/>
        <v>9.1999999999999998E-2</v>
      </c>
      <c r="CI94" s="311">
        <f t="shared" si="25"/>
        <v>6.8000000000000005E-2</v>
      </c>
      <c r="CJ94" s="311">
        <f t="shared" si="26"/>
        <v>5.0000000000000001E-3</v>
      </c>
      <c r="CK94" s="311">
        <f t="shared" si="26"/>
        <v>0.98250000000000004</v>
      </c>
      <c r="CL94" s="313">
        <f t="shared" si="27"/>
        <v>0</v>
      </c>
      <c r="CM94" s="313">
        <v>0</v>
      </c>
      <c r="CN94" s="313">
        <v>0</v>
      </c>
      <c r="CO94" s="318">
        <f t="shared" si="28"/>
        <v>2.4000000000000001E-4</v>
      </c>
    </row>
    <row r="95" spans="1:93" x14ac:dyDescent="0.25">
      <c r="A95" s="15">
        <v>2047</v>
      </c>
      <c r="B95" s="54">
        <f>IF($F$1=1.8%,LOOKUP($A95,Prix!B$6:B$127,Prix!$G$6:$G$127),IF($F$1=1.5%,LOOKUP($A95,Prix!B$6:B$127,Prix!$H$6:$H$127),IF($F$1=1.3%,LOOKUP($A95,Prix!B$6:B$127,Prix!$I$6:$I$127),LOOKUP($A95,Prix!B$6:B$127,Prix!$J$6:$J$127))))</f>
        <v>1.7500000000000002E-2</v>
      </c>
      <c r="C95" s="7">
        <f t="shared" si="33"/>
        <v>1.543116441215167</v>
      </c>
      <c r="D95" s="5">
        <f>IF($F$1=1.8%,LOOKUP($A95,SMPT!$B$6:$B$127,SMPT!$C$6:$C$127),IF($F$1=1.5%,LOOKUP($A95,SMPT!$B$6:$B$127,SMPT!$D$6:$D$127),IF($F$1=1.3%,LOOKUP($A95,SMPT!$B$6:$B$127,SMPT!$E$6:$E$127),LOOKUP($A95,SMPT!$B$6:$B$127,SMPT!$F$6:$F$127))))</f>
        <v>82346.700136389249</v>
      </c>
      <c r="E95" s="17">
        <f t="shared" si="34"/>
        <v>3.0727500000000019E-2</v>
      </c>
      <c r="F95" s="60">
        <f>IF($F$1=1.8%,LOOKUP($A95,SMIC!$B$6:$B$125,SMIC!$C$6:$C$125),IF($F$1=1.5%,LOOKUP($A95,SMIC!$B$6:$B$125,SMIC!$D$6:$D$125),IF($F$1=1.3%,LOOKUP($A95,SMIC!$B$6:$B$125,SMIC!$E$6:$E$125),LOOKUP($A95,SMIC!$B$6:$B$125,SMIC!$F$6:$F$125))))</f>
        <v>36608.478197479948</v>
      </c>
      <c r="G95" s="153">
        <f t="shared" si="29"/>
        <v>2.242004975539428</v>
      </c>
      <c r="H95" s="357">
        <f t="shared" si="23"/>
        <v>3.0645389069340556E-2</v>
      </c>
      <c r="I95" s="15">
        <v>2047</v>
      </c>
      <c r="J95" s="13">
        <f t="shared" si="35"/>
        <v>41830.655371817418</v>
      </c>
      <c r="K95" s="65">
        <f t="shared" si="44"/>
        <v>0.17749999999999999</v>
      </c>
      <c r="L95" s="65">
        <f t="shared" si="36"/>
        <v>0.10450000000000001</v>
      </c>
      <c r="M95" s="65">
        <f t="shared" si="37"/>
        <v>7.2999999999999982E-2</v>
      </c>
      <c r="N95" s="65">
        <f t="shared" si="16"/>
        <v>2.3000000000000003E-2</v>
      </c>
      <c r="O95" s="65">
        <f>IF(Simulation!$D$43="Oui",$Q95,0)</f>
        <v>1.9000000000000003E-2</v>
      </c>
      <c r="P95" s="65">
        <f>IF(Simulation!$D$43="Oui",$R95,0)</f>
        <v>4.0000000000000001E-3</v>
      </c>
      <c r="Q95" s="678">
        <f t="shared" si="38"/>
        <v>1.9000000000000003E-2</v>
      </c>
      <c r="R95" s="678">
        <f t="shared" si="38"/>
        <v>4.0000000000000001E-3</v>
      </c>
      <c r="S95" s="56">
        <f>IF($F$1=1.8%,LOOKUP($A95,Sal_valid!$B$6:$B$127,Sal_valid!$C$6:$C$127),IF($F$1=1.5%,LOOKUP($A95,Sal_valid!$B$6:$B$127,Sal_valid!$D$6:$D$127),IF($F$1=1.3%,LOOKUP($A95,Sal_valid!$B$6:$B$127,Sal_valid!$E$6:$E$127),LOOKUP($A95,Sal_valid!$B$6:$B$127,Sal_valid!$F$6:$F$127))))</f>
        <v>3017.0752594572209</v>
      </c>
      <c r="T95" s="76">
        <f>IF(Simulation!$D$33="Prix",Revalo_RB!$D107,Barèmes!$E95)</f>
        <v>1.7500000000000002E-2</v>
      </c>
      <c r="U95" s="76">
        <f>IF(Simulation!$D$34="Prix",Revalo_RB!$H107,Barèmes!$E95)</f>
        <v>1.7500000000000002E-2</v>
      </c>
      <c r="V95" s="56">
        <f>IF($F$1=1.8%,LOOKUP($A95,PSS!$B$6:$B$127,PSS!$C$6:$C$127),IF($F$1=1.5%,LOOKUP($A95,PSS!$B$6:$B$127,PSS!$D$6:$D$127),IF($F$1=1.3%,LOOKUP($A95,PSS!$B$6:$B$127,PSS!$E$6:$E$127),LOOKUP($A95,PSS!$B$6:$B$127,PSS!$F$6:$F$127))))</f>
        <v>87576</v>
      </c>
      <c r="W95" s="56">
        <f>IF($F$1=1.8%,LOOKUP($A95,Smic_AVPF!$B$6:$B$104,Smic_AVPF!$C$6:$C$104),IF($F$1=1.5%,LOOKUP($A95,Smic_AVPF!$B$6:$B$104,Smic_AVPF!$D$6:$D$104),IF($F$1=1.3%,LOOKUP($A95,Smic_AVPF!$B$6:$B$104,Smic_AVPF!$E$6:$E$104),LOOKUP($A95,Smic_AVPF!$B$6:$B$104,Smic_AVPF!$F$6:$F$104))))</f>
        <v>40308.60106441893</v>
      </c>
      <c r="X95" s="56">
        <f>IF(Simulation!$D$32="SMPT",(1+$E95)*X94,IF(Simulation!$D$32="PRIX",Minima!$O44))</f>
        <v>11947.829615993349</v>
      </c>
      <c r="Y95" s="56">
        <f>IF(Simulation!$D$32="SMPT",(1+$E95)*Y94,IF(Simulation!$D$32="PRIX",Minima!$P44))</f>
        <v>13055.707997405147</v>
      </c>
      <c r="Z95" s="56">
        <f t="shared" si="45"/>
        <v>22273.621382332472</v>
      </c>
      <c r="AA95" s="58"/>
      <c r="AB95" s="15">
        <v>2047</v>
      </c>
      <c r="AC95" s="64">
        <f t="shared" si="46"/>
        <v>6.2E-2</v>
      </c>
      <c r="AD95" s="65">
        <f t="shared" si="39"/>
        <v>3.7200000000000004E-2</v>
      </c>
      <c r="AE95" s="65">
        <f t="shared" si="47"/>
        <v>2.4799999999999996E-2</v>
      </c>
      <c r="AF95" s="65">
        <f t="shared" si="48"/>
        <v>0.17</v>
      </c>
      <c r="AG95" s="65">
        <f t="shared" si="40"/>
        <v>0.10200000000000001</v>
      </c>
      <c r="AH95" s="65">
        <f t="shared" si="49"/>
        <v>6.8000000000000005E-2</v>
      </c>
      <c r="AI95" s="66">
        <f t="shared" si="50"/>
        <v>1.27</v>
      </c>
      <c r="AJ95" s="66"/>
      <c r="AK95" s="66"/>
      <c r="AL95" s="65">
        <f t="shared" si="20"/>
        <v>3.4999999999999996E-3</v>
      </c>
      <c r="AM95" s="65">
        <f>IF(Simulation!$D$42="Oui",Barèmes!$AO95,0)</f>
        <v>2.0999999999999999E-3</v>
      </c>
      <c r="AN95" s="65">
        <f>IF(Simulation!$D$42="Oui",Barèmes!$AP95,0)</f>
        <v>1.3999999999999998E-3</v>
      </c>
      <c r="AO95" s="678">
        <f t="shared" si="51"/>
        <v>2.0999999999999999E-3</v>
      </c>
      <c r="AP95" s="678">
        <f t="shared" si="52"/>
        <v>1.3999999999999998E-3</v>
      </c>
      <c r="AQ95" s="65">
        <f t="shared" si="15"/>
        <v>2.1499999999999998E-2</v>
      </c>
      <c r="AR95" s="65">
        <f>IF(Simulation!$D$42="Oui",Barèmes!$AT95,0)</f>
        <v>1.29E-2</v>
      </c>
      <c r="AS95" s="65">
        <f>IF(Simulation!$D$42="Oui",Barèmes!$AU95,0)</f>
        <v>8.6E-3</v>
      </c>
      <c r="AT95" s="678">
        <f t="shared" si="53"/>
        <v>1.29E-2</v>
      </c>
      <c r="AU95" s="678">
        <f t="shared" si="54"/>
        <v>8.6E-3</v>
      </c>
      <c r="AV95" s="65">
        <f t="shared" si="21"/>
        <v>2.7000000000000003E-2</v>
      </c>
      <c r="AW95" s="65">
        <f>IF(Simulation!$D$42="Oui",Barèmes!$AY95,0)</f>
        <v>1.6200000000000003E-2</v>
      </c>
      <c r="AX95" s="65">
        <f>IF(Simulation!$D$42="Oui",Barèmes!$AZ95,0)</f>
        <v>1.0800000000000001E-2</v>
      </c>
      <c r="AY95" s="678">
        <f t="shared" si="55"/>
        <v>1.6200000000000003E-2</v>
      </c>
      <c r="AZ95" s="678">
        <f t="shared" si="56"/>
        <v>1.0800000000000001E-2</v>
      </c>
      <c r="BA95" s="69">
        <f>IF($F$1=1.8%,LOOKUP($A95,'AGIRC-ARRCO'!$B$6:$B$57,'AGIRC-ARRCO'!$C$6:$C$57),IF($F$1=1.5%,LOOKUP($A95,'AGIRC-ARRCO'!$B$6:$B$57,'AGIRC-ARRCO'!$D$6:$D$57),IF($F$1=1.3%,LOOKUP($A95,'AGIRC-ARRCO'!$B$6:$B$57,'AGIRC-ARRCO'!$E$6:$E$57),LOOKUP($A95,'AGIRC-ARRCO'!$B$6:$B$57,'AGIRC-ARRCO'!$F$6:$F$57))))</f>
        <v>31.600300000000001</v>
      </c>
      <c r="BB95" s="69"/>
      <c r="BC95" s="69"/>
      <c r="BD95" s="69">
        <f>IF($F$1=1.8%,LOOKUP($A95,'AGIRC-ARRCO'!$B$6:$B$57,'AGIRC-ARRCO'!$G$6:$G$57),IF($F$1=1.5%,LOOKUP($A95,'AGIRC-ARRCO'!$B$6:$B$57,'AGIRC-ARRCO'!$H$6:$H$57),IF($F$1=1.3%,LOOKUP($A95,'AGIRC-ARRCO'!$B$6:$B$57,'AGIRC-ARRCO'!$I$6:$I$57),LOOKUP($A95,'AGIRC-ARRCO'!$B$6:$B$57,'AGIRC-ARRCO'!$J$6:$J$57))))</f>
        <v>2.0556999999999999</v>
      </c>
      <c r="BE95" s="69"/>
      <c r="BF95" s="69"/>
      <c r="BG95" s="71">
        <f t="shared" si="30"/>
        <v>2.0237000000000003</v>
      </c>
      <c r="BH95" s="71"/>
      <c r="BI95" s="71"/>
      <c r="BJ95" s="18">
        <f t="shared" si="31"/>
        <v>3385.744690891931</v>
      </c>
      <c r="BL95" s="15">
        <v>2047</v>
      </c>
      <c r="BM95" s="22">
        <f>BM94*IF(Simulation!$D$35="SMPT",1+$E95,IF(Simulation!$D$35="PRIX",1+$B95))</f>
        <v>17797.514957357838</v>
      </c>
      <c r="BN95" s="23">
        <f>BN94*IF(Simulation!$D$35="SMPT",1+$E95,IF(Simulation!$D$35="PRIX",1+$B95))</f>
        <v>23267.193028930113</v>
      </c>
      <c r="BO95" s="23">
        <f>BO94*IF(Simulation!$D$35="SMPT",1+$E95,IF(Simulation!$D$35="PRIX",1+$B95))</f>
        <v>36109.859852998277</v>
      </c>
      <c r="BP95" s="5"/>
      <c r="BQ95" s="146">
        <v>0</v>
      </c>
      <c r="BR95" s="146">
        <v>4.2999999999999997E-2</v>
      </c>
      <c r="BS95" s="146">
        <v>7.3999999999999996E-2</v>
      </c>
      <c r="BT95" s="146">
        <v>9.0999999999999998E-2</v>
      </c>
      <c r="BV95" s="15">
        <v>2047</v>
      </c>
      <c r="BW95" s="22">
        <f>BW94*IF(Simulation!$D$35="SMPT",1+$E95,IF(Simulation!$D$35="PRIX",1+$B95))</f>
        <v>27301.587636199351</v>
      </c>
      <c r="BX95" s="23">
        <f>BX94*IF(Simulation!$D$35="SMPT",1+$E95,IF(Simulation!$D$35="PRIX",1+$B95))</f>
        <v>35691.755539483907</v>
      </c>
      <c r="BY95" s="23">
        <f>BY94*IF(Simulation!$D$35="SMPT",1+$E95,IF(Simulation!$D$35="PRIX",1+$B95))</f>
        <v>55389.460996321235</v>
      </c>
      <c r="BZ95" s="5"/>
      <c r="CA95" s="146">
        <v>0</v>
      </c>
      <c r="CB95" s="146">
        <f t="shared" si="41"/>
        <v>4.2999999999999997E-2</v>
      </c>
      <c r="CC95" s="146">
        <f t="shared" si="42"/>
        <v>7.3999999999999996E-2</v>
      </c>
      <c r="CD95" s="146">
        <f t="shared" si="43"/>
        <v>9.0999999999999998E-2</v>
      </c>
      <c r="CE95" s="146">
        <f t="shared" si="43"/>
        <v>3.2000000000000001E-2</v>
      </c>
      <c r="CG95" s="15">
        <v>2047</v>
      </c>
      <c r="CH95" s="317">
        <f t="shared" si="57"/>
        <v>9.1999999999999998E-2</v>
      </c>
      <c r="CI95" s="311">
        <f t="shared" si="25"/>
        <v>6.8000000000000005E-2</v>
      </c>
      <c r="CJ95" s="311">
        <f t="shared" si="26"/>
        <v>5.0000000000000001E-3</v>
      </c>
      <c r="CK95" s="311">
        <f t="shared" si="26"/>
        <v>0.98250000000000004</v>
      </c>
      <c r="CL95" s="313">
        <f t="shared" si="27"/>
        <v>0</v>
      </c>
      <c r="CM95" s="313">
        <v>0</v>
      </c>
      <c r="CN95" s="313">
        <v>0</v>
      </c>
      <c r="CO95" s="318">
        <f t="shared" si="28"/>
        <v>2.4000000000000001E-4</v>
      </c>
    </row>
    <row r="96" spans="1:93" x14ac:dyDescent="0.25">
      <c r="A96" s="15">
        <v>2048</v>
      </c>
      <c r="B96" s="54">
        <f>IF($F$1=1.8%,LOOKUP($A96,Prix!B$6:B$127,Prix!$G$6:$G$127),IF($F$1=1.5%,LOOKUP($A96,Prix!B$6:B$127,Prix!$H$6:$H$127),IF($F$1=1.3%,LOOKUP($A96,Prix!B$6:B$127,Prix!$I$6:$I$127),LOOKUP($A96,Prix!B$6:B$127,Prix!$J$6:$J$127))))</f>
        <v>1.7500000000000002E-2</v>
      </c>
      <c r="C96" s="7">
        <f t="shared" si="33"/>
        <v>1.5701209789364325</v>
      </c>
      <c r="D96" s="5">
        <f>IF($F$1=1.8%,LOOKUP($A96,SMPT!$B$6:$B$127,SMPT!$C$6:$C$127),IF($F$1=1.5%,LOOKUP($A96,SMPT!$B$6:$B$127,SMPT!$D$6:$D$127),IF($F$1=1.3%,LOOKUP($A96,SMPT!$B$6:$B$127,SMPT!$E$6:$E$127),LOOKUP($A96,SMPT!$B$6:$B$127,SMPT!$F$6:$F$127))))</f>
        <v>84877.008364830152</v>
      </c>
      <c r="E96" s="17">
        <f t="shared" si="34"/>
        <v>3.0727500000000019E-2</v>
      </c>
      <c r="F96" s="60">
        <f>IF($F$1=1.8%,LOOKUP($A96,SMIC!$B$6:$B$125,SMIC!$C$6:$C$125),IF($F$1=1.5%,LOOKUP($A96,SMIC!$B$6:$B$125,SMIC!$D$6:$D$125),IF($F$1=1.3%,LOOKUP($A96,SMIC!$B$6:$B$125,SMIC!$E$6:$E$125),LOOKUP($A96,SMIC!$B$6:$B$125,SMIC!$F$6:$F$125))))</f>
        <v>37733.365211293014</v>
      </c>
      <c r="G96" s="153">
        <f t="shared" si="29"/>
        <v>2.3108961834253159</v>
      </c>
      <c r="H96" s="357">
        <f t="shared" si="23"/>
        <v>3.0693340641271494E-2</v>
      </c>
      <c r="I96" s="15">
        <v>2048</v>
      </c>
      <c r="J96" s="13">
        <f t="shared" si="35"/>
        <v>43116.006834754939</v>
      </c>
      <c r="K96" s="65">
        <f t="shared" si="44"/>
        <v>0.17749999999999999</v>
      </c>
      <c r="L96" s="65">
        <f t="shared" si="36"/>
        <v>0.10450000000000001</v>
      </c>
      <c r="M96" s="65">
        <f t="shared" si="37"/>
        <v>7.2999999999999982E-2</v>
      </c>
      <c r="N96" s="65">
        <f t="shared" si="16"/>
        <v>2.3000000000000003E-2</v>
      </c>
      <c r="O96" s="65">
        <f>IF(Simulation!$D$43="Oui",$Q96,0)</f>
        <v>1.9000000000000003E-2</v>
      </c>
      <c r="P96" s="65">
        <f>IF(Simulation!$D$43="Oui",$R96,0)</f>
        <v>4.0000000000000001E-3</v>
      </c>
      <c r="Q96" s="678">
        <f t="shared" si="38"/>
        <v>1.9000000000000003E-2</v>
      </c>
      <c r="R96" s="678">
        <f t="shared" si="38"/>
        <v>4.0000000000000001E-3</v>
      </c>
      <c r="S96" s="56">
        <f>IF($F$1=1.8%,LOOKUP($A96,Sal_valid!$B$6:$B$127,Sal_valid!$C$6:$C$127),IF($F$1=1.5%,LOOKUP($A96,Sal_valid!$B$6:$B$127,Sal_valid!$D$6:$D$127),IF($F$1=1.3%,LOOKUP($A96,Sal_valid!$B$6:$B$127,Sal_valid!$E$6:$E$127),LOOKUP($A96,Sal_valid!$B$6:$B$127,Sal_valid!$F$6:$F$127))))</f>
        <v>3109.7824394921927</v>
      </c>
      <c r="T96" s="76">
        <f>IF(Simulation!$D$33="Prix",Revalo_RB!$D108,Barèmes!$E96)</f>
        <v>1.7500000000000002E-2</v>
      </c>
      <c r="U96" s="76">
        <f>IF(Simulation!$D$34="Prix",Revalo_RB!$H108,Barèmes!$E96)</f>
        <v>1.7500000000000002E-2</v>
      </c>
      <c r="V96" s="56">
        <f>IF($F$1=1.8%,LOOKUP($A96,PSS!$B$6:$B$127,PSS!$C$6:$C$127),IF($F$1=1.5%,LOOKUP($A96,PSS!$B$6:$B$127,PSS!$D$6:$D$127),IF($F$1=1.3%,LOOKUP($A96,PSS!$B$6:$B$127,PSS!$E$6:$E$127),LOOKUP($A96,PSS!$B$6:$B$127,PSS!$F$6:$F$127))))</f>
        <v>90264</v>
      </c>
      <c r="W96" s="56">
        <f>IF($F$1=1.8%,LOOKUP($A96,Smic_AVPF!$B$6:$B$104,Smic_AVPF!$C$6:$C$104),IF($F$1=1.5%,LOOKUP($A96,Smic_AVPF!$B$6:$B$104,Smic_AVPF!$D$6:$D$104),IF($F$1=1.3%,LOOKUP($A96,Smic_AVPF!$B$6:$B$104,Smic_AVPF!$E$6:$E$104),LOOKUP($A96,Smic_AVPF!$B$6:$B$104,Smic_AVPF!$F$6:$F$104))))</f>
        <v>41547.183603625861</v>
      </c>
      <c r="X96" s="56">
        <f>IF(Simulation!$D$32="SMPT",(1+$E96)*X95,IF(Simulation!$D$32="PRIX",Minima!$O45))</f>
        <v>12156.916634273233</v>
      </c>
      <c r="Y96" s="56">
        <f>IF(Simulation!$D$32="SMPT",(1+$E96)*Y95,IF(Simulation!$D$32="PRIX",Minima!$P45))</f>
        <v>13284.182887359737</v>
      </c>
      <c r="Z96" s="56">
        <f t="shared" si="45"/>
        <v>22663.409756523291</v>
      </c>
      <c r="AA96" s="58"/>
      <c r="AB96" s="15">
        <v>2048</v>
      </c>
      <c r="AC96" s="64">
        <f t="shared" si="46"/>
        <v>6.2E-2</v>
      </c>
      <c r="AD96" s="65">
        <f t="shared" si="39"/>
        <v>3.7200000000000004E-2</v>
      </c>
      <c r="AE96" s="65">
        <f t="shared" si="47"/>
        <v>2.4799999999999996E-2</v>
      </c>
      <c r="AF96" s="65">
        <f t="shared" si="48"/>
        <v>0.17</v>
      </c>
      <c r="AG96" s="65">
        <f t="shared" si="40"/>
        <v>0.10200000000000001</v>
      </c>
      <c r="AH96" s="65">
        <f t="shared" si="49"/>
        <v>6.8000000000000005E-2</v>
      </c>
      <c r="AI96" s="66">
        <f t="shared" si="50"/>
        <v>1.27</v>
      </c>
      <c r="AJ96" s="66"/>
      <c r="AK96" s="66"/>
      <c r="AL96" s="65">
        <f t="shared" si="20"/>
        <v>3.4999999999999996E-3</v>
      </c>
      <c r="AM96" s="65">
        <f>IF(Simulation!$D$42="Oui",Barèmes!$AO96,0)</f>
        <v>2.0999999999999999E-3</v>
      </c>
      <c r="AN96" s="65">
        <f>IF(Simulation!$D$42="Oui",Barèmes!$AP96,0)</f>
        <v>1.3999999999999998E-3</v>
      </c>
      <c r="AO96" s="678">
        <f t="shared" si="51"/>
        <v>2.0999999999999999E-3</v>
      </c>
      <c r="AP96" s="678">
        <f t="shared" si="52"/>
        <v>1.3999999999999998E-3</v>
      </c>
      <c r="AQ96" s="65">
        <f t="shared" si="15"/>
        <v>2.1499999999999998E-2</v>
      </c>
      <c r="AR96" s="65">
        <f>IF(Simulation!$D$42="Oui",Barèmes!$AT96,0)</f>
        <v>1.29E-2</v>
      </c>
      <c r="AS96" s="65">
        <f>IF(Simulation!$D$42="Oui",Barèmes!$AU96,0)</f>
        <v>8.6E-3</v>
      </c>
      <c r="AT96" s="678">
        <f t="shared" si="53"/>
        <v>1.29E-2</v>
      </c>
      <c r="AU96" s="678">
        <f t="shared" si="54"/>
        <v>8.6E-3</v>
      </c>
      <c r="AV96" s="65">
        <f t="shared" si="21"/>
        <v>2.7000000000000003E-2</v>
      </c>
      <c r="AW96" s="65">
        <f>IF(Simulation!$D$42="Oui",Barèmes!$AY96,0)</f>
        <v>1.6200000000000003E-2</v>
      </c>
      <c r="AX96" s="65">
        <f>IF(Simulation!$D$42="Oui",Barèmes!$AZ96,0)</f>
        <v>1.0800000000000001E-2</v>
      </c>
      <c r="AY96" s="678">
        <f t="shared" si="55"/>
        <v>1.6200000000000003E-2</v>
      </c>
      <c r="AZ96" s="678">
        <f t="shared" si="56"/>
        <v>1.0800000000000001E-2</v>
      </c>
      <c r="BA96" s="69">
        <f>IF($F$1=1.8%,LOOKUP($A96,'AGIRC-ARRCO'!$B$6:$B$57,'AGIRC-ARRCO'!$C$6:$C$57),IF($F$1=1.5%,LOOKUP($A96,'AGIRC-ARRCO'!$B$6:$B$57,'AGIRC-ARRCO'!$D$6:$D$57),IF($F$1=1.3%,LOOKUP($A96,'AGIRC-ARRCO'!$B$6:$B$57,'AGIRC-ARRCO'!$E$6:$E$57),LOOKUP($A96,'AGIRC-ARRCO'!$B$6:$B$57,'AGIRC-ARRCO'!$F$6:$F$57))))</f>
        <v>32.200699999999998</v>
      </c>
      <c r="BB96" s="69"/>
      <c r="BC96" s="69"/>
      <c r="BD96" s="69">
        <f>IF($F$1=1.8%,LOOKUP($A96,'AGIRC-ARRCO'!$B$6:$B$57,'AGIRC-ARRCO'!$G$6:$G$57),IF($F$1=1.5%,LOOKUP($A96,'AGIRC-ARRCO'!$B$6:$B$57,'AGIRC-ARRCO'!$H$6:$H$57),IF($F$1=1.3%,LOOKUP($A96,'AGIRC-ARRCO'!$B$6:$B$57,'AGIRC-ARRCO'!$I$6:$I$57),LOOKUP($A96,'AGIRC-ARRCO'!$B$6:$B$57,'AGIRC-ARRCO'!$J$6:$J$57))))</f>
        <v>2.0949</v>
      </c>
      <c r="BE96" s="69"/>
      <c r="BF96" s="69"/>
      <c r="BG96" s="71">
        <f t="shared" si="30"/>
        <v>2.0622333333333334</v>
      </c>
      <c r="BH96" s="71"/>
      <c r="BI96" s="71"/>
      <c r="BJ96" s="18">
        <f t="shared" si="31"/>
        <v>3450.307220386976</v>
      </c>
      <c r="BL96" s="15">
        <v>2048</v>
      </c>
      <c r="BM96" s="22">
        <f>BM95*IF(Simulation!$D$35="SMPT",1+$E96,IF(Simulation!$D$35="PRIX",1+$B96))</f>
        <v>18108.971469111602</v>
      </c>
      <c r="BN96" s="23">
        <f>BN95*IF(Simulation!$D$35="SMPT",1+$E96,IF(Simulation!$D$35="PRIX",1+$B96))</f>
        <v>23674.36890693639</v>
      </c>
      <c r="BO96" s="23">
        <f>BO95*IF(Simulation!$D$35="SMPT",1+$E96,IF(Simulation!$D$35="PRIX",1+$B96))</f>
        <v>36741.782400425749</v>
      </c>
      <c r="BP96" s="5"/>
      <c r="BQ96" s="146">
        <v>0</v>
      </c>
      <c r="BR96" s="146">
        <v>4.2999999999999997E-2</v>
      </c>
      <c r="BS96" s="146">
        <v>7.3999999999999996E-2</v>
      </c>
      <c r="BT96" s="146">
        <v>9.0999999999999998E-2</v>
      </c>
      <c r="BV96" s="15">
        <v>2048</v>
      </c>
      <c r="BW96" s="22">
        <f>BW95*IF(Simulation!$D$35="SMPT",1+$E96,IF(Simulation!$D$35="PRIX",1+$B96))</f>
        <v>27779.36541983284</v>
      </c>
      <c r="BX96" s="23">
        <f>BX95*IF(Simulation!$D$35="SMPT",1+$E96,IF(Simulation!$D$35="PRIX",1+$B96))</f>
        <v>36316.361261424878</v>
      </c>
      <c r="BY96" s="23">
        <f>BY95*IF(Simulation!$D$35="SMPT",1+$E96,IF(Simulation!$D$35="PRIX",1+$B96))</f>
        <v>56358.776563756859</v>
      </c>
      <c r="BZ96" s="5"/>
      <c r="CA96" s="146">
        <v>0</v>
      </c>
      <c r="CB96" s="146">
        <f t="shared" si="41"/>
        <v>4.2999999999999997E-2</v>
      </c>
      <c r="CC96" s="146">
        <f t="shared" si="42"/>
        <v>7.3999999999999996E-2</v>
      </c>
      <c r="CD96" s="146">
        <f t="shared" si="43"/>
        <v>9.0999999999999998E-2</v>
      </c>
      <c r="CE96" s="146">
        <f t="shared" si="43"/>
        <v>3.2000000000000001E-2</v>
      </c>
      <c r="CG96" s="15">
        <v>2048</v>
      </c>
      <c r="CH96" s="317">
        <f t="shared" si="57"/>
        <v>9.1999999999999998E-2</v>
      </c>
      <c r="CI96" s="311">
        <f t="shared" si="25"/>
        <v>6.8000000000000005E-2</v>
      </c>
      <c r="CJ96" s="311">
        <f t="shared" si="26"/>
        <v>5.0000000000000001E-3</v>
      </c>
      <c r="CK96" s="311">
        <f t="shared" si="26"/>
        <v>0.98250000000000004</v>
      </c>
      <c r="CL96" s="313">
        <f t="shared" si="27"/>
        <v>0</v>
      </c>
      <c r="CM96" s="313">
        <v>0</v>
      </c>
      <c r="CN96" s="313">
        <v>0</v>
      </c>
      <c r="CO96" s="318">
        <f t="shared" si="28"/>
        <v>2.4000000000000001E-4</v>
      </c>
    </row>
    <row r="97" spans="1:93" x14ac:dyDescent="0.25">
      <c r="A97" s="15">
        <v>2049</v>
      </c>
      <c r="B97" s="54">
        <f>IF($F$1=1.8%,LOOKUP($A97,Prix!B$6:B$127,Prix!$G$6:$G$127),IF($F$1=1.5%,LOOKUP($A97,Prix!B$6:B$127,Prix!$H$6:$H$127),IF($F$1=1.3%,LOOKUP($A97,Prix!B$6:B$127,Prix!$I$6:$I$127),LOOKUP($A97,Prix!B$6:B$127,Prix!$J$6:$J$127))))</f>
        <v>1.7500000000000002E-2</v>
      </c>
      <c r="C97" s="7">
        <f t="shared" si="33"/>
        <v>1.5975980960678202</v>
      </c>
      <c r="D97" s="5">
        <f>IF($F$1=1.8%,LOOKUP($A97,SMPT!$B$6:$B$127,SMPT!$C$6:$C$127),IF($F$1=1.5%,LOOKUP($A97,SMPT!$B$6:$B$127,SMPT!$D$6:$D$127),IF($F$1=1.3%,LOOKUP($A97,SMPT!$B$6:$B$127,SMPT!$E$6:$E$127),LOOKUP($A97,SMPT!$B$6:$B$127,SMPT!$F$6:$F$127))))</f>
        <v>87485.066639360477</v>
      </c>
      <c r="E97" s="17">
        <f t="shared" si="34"/>
        <v>3.0727500000000019E-2</v>
      </c>
      <c r="F97" s="60">
        <f>IF($F$1=1.8%,LOOKUP($A97,SMIC!$B$6:$B$125,SMIC!$C$6:$C$125),IF($F$1=1.5%,LOOKUP($A97,SMIC!$B$6:$B$125,SMIC!$D$6:$D$125),IF($F$1=1.3%,LOOKUP($A97,SMIC!$B$6:$B$125,SMIC!$E$6:$E$125),LOOKUP($A97,SMIC!$B$6:$B$125,SMIC!$F$6:$F$125))))</f>
        <v>38892.817190823029</v>
      </c>
      <c r="G97" s="153">
        <f t="shared" si="29"/>
        <v>2.3819042459015174</v>
      </c>
      <c r="H97" s="357">
        <f t="shared" si="23"/>
        <v>3.0709917575113099E-2</v>
      </c>
      <c r="I97" s="15">
        <v>2049</v>
      </c>
      <c r="J97" s="13">
        <f t="shared" si="35"/>
        <v>44440.853934769882</v>
      </c>
      <c r="K97" s="65">
        <f t="shared" si="44"/>
        <v>0.17749999999999999</v>
      </c>
      <c r="L97" s="65">
        <f t="shared" si="36"/>
        <v>0.10450000000000001</v>
      </c>
      <c r="M97" s="65">
        <f t="shared" si="37"/>
        <v>7.2999999999999982E-2</v>
      </c>
      <c r="N97" s="65">
        <f t="shared" si="16"/>
        <v>2.3000000000000003E-2</v>
      </c>
      <c r="O97" s="65">
        <f>IF(Simulation!$D$43="Oui",$Q97,0)</f>
        <v>1.9000000000000003E-2</v>
      </c>
      <c r="P97" s="65">
        <f>IF(Simulation!$D$43="Oui",$R97,0)</f>
        <v>4.0000000000000001E-3</v>
      </c>
      <c r="Q97" s="678">
        <f t="shared" si="38"/>
        <v>1.9000000000000003E-2</v>
      </c>
      <c r="R97" s="678">
        <f t="shared" si="38"/>
        <v>4.0000000000000001E-3</v>
      </c>
      <c r="S97" s="56">
        <f>IF($F$1=1.8%,LOOKUP($A97,Sal_valid!$B$6:$B$127,Sal_valid!$C$6:$C$127),IF($F$1=1.5%,LOOKUP($A97,Sal_valid!$B$6:$B$127,Sal_valid!$D$6:$D$127),IF($F$1=1.3%,LOOKUP($A97,Sal_valid!$B$6:$B$127,Sal_valid!$E$6:$E$127),LOOKUP($A97,Sal_valid!$B$6:$B$127,Sal_valid!$F$6:$F$127))))</f>
        <v>3205.3382794016893</v>
      </c>
      <c r="T97" s="76">
        <f>IF(Simulation!$D$33="Prix",Revalo_RB!$D109,Barèmes!$E97)</f>
        <v>1.7500000000000002E-2</v>
      </c>
      <c r="U97" s="76">
        <f>IF(Simulation!$D$34="Prix",Revalo_RB!$H109,Barèmes!$E97)</f>
        <v>1.7500000000000002E-2</v>
      </c>
      <c r="V97" s="56">
        <f>IF($F$1=1.8%,LOOKUP($A97,PSS!$B$6:$B$127,PSS!$C$6:$C$127),IF($F$1=1.5%,LOOKUP($A97,PSS!$B$6:$B$127,PSS!$D$6:$D$127),IF($F$1=1.3%,LOOKUP($A97,PSS!$B$6:$B$127,PSS!$E$6:$E$127),LOOKUP($A97,PSS!$B$6:$B$127,PSS!$F$6:$F$127))))</f>
        <v>93036</v>
      </c>
      <c r="W97" s="56">
        <f>IF($F$1=1.8%,LOOKUP($A97,Smic_AVPF!$B$6:$B$104,Smic_AVPF!$C$6:$C$104),IF($F$1=1.5%,LOOKUP($A97,Smic_AVPF!$B$6:$B$104,Smic_AVPF!$D$6:$D$104),IF($F$1=1.3%,LOOKUP($A97,Smic_AVPF!$B$6:$B$104,Smic_AVPF!$E$6:$E$104),LOOKUP($A97,Smic_AVPF!$B$6:$B$104,Smic_AVPF!$F$6:$F$104))))</f>
        <v>42823.824687806278</v>
      </c>
      <c r="X97" s="56">
        <f>IF(Simulation!$D$32="SMPT",(1+$E97)*X96,IF(Simulation!$D$32="PRIX",Minima!$O46))</f>
        <v>12369.662675373016</v>
      </c>
      <c r="Y97" s="56">
        <f>IF(Simulation!$D$32="SMPT",(1+$E97)*Y96,IF(Simulation!$D$32="PRIX",Minima!$P46))</f>
        <v>13516.656087888534</v>
      </c>
      <c r="Z97" s="56">
        <f t="shared" si="45"/>
        <v>23060.01942726245</v>
      </c>
      <c r="AA97" s="58"/>
      <c r="AB97" s="15">
        <v>2049</v>
      </c>
      <c r="AC97" s="64">
        <f t="shared" si="46"/>
        <v>6.2E-2</v>
      </c>
      <c r="AD97" s="65">
        <f t="shared" si="39"/>
        <v>3.7200000000000004E-2</v>
      </c>
      <c r="AE97" s="65">
        <f t="shared" si="47"/>
        <v>2.4799999999999996E-2</v>
      </c>
      <c r="AF97" s="65">
        <f t="shared" si="48"/>
        <v>0.17</v>
      </c>
      <c r="AG97" s="65">
        <f t="shared" si="40"/>
        <v>0.10200000000000001</v>
      </c>
      <c r="AH97" s="65">
        <f t="shared" si="49"/>
        <v>6.8000000000000005E-2</v>
      </c>
      <c r="AI97" s="66">
        <f t="shared" si="50"/>
        <v>1.27</v>
      </c>
      <c r="AJ97" s="66"/>
      <c r="AK97" s="66"/>
      <c r="AL97" s="65">
        <f t="shared" si="20"/>
        <v>3.4999999999999996E-3</v>
      </c>
      <c r="AM97" s="65">
        <f>IF(Simulation!$D$42="Oui",Barèmes!$AO97,0)</f>
        <v>2.0999999999999999E-3</v>
      </c>
      <c r="AN97" s="65">
        <f>IF(Simulation!$D$42="Oui",Barèmes!$AP97,0)</f>
        <v>1.3999999999999998E-3</v>
      </c>
      <c r="AO97" s="678">
        <f t="shared" si="51"/>
        <v>2.0999999999999999E-3</v>
      </c>
      <c r="AP97" s="678">
        <f t="shared" si="52"/>
        <v>1.3999999999999998E-3</v>
      </c>
      <c r="AQ97" s="65">
        <f t="shared" si="15"/>
        <v>2.1499999999999998E-2</v>
      </c>
      <c r="AR97" s="65">
        <f>IF(Simulation!$D$42="Oui",Barèmes!$AT97,0)</f>
        <v>1.29E-2</v>
      </c>
      <c r="AS97" s="65">
        <f>IF(Simulation!$D$42="Oui",Barèmes!$AU97,0)</f>
        <v>8.6E-3</v>
      </c>
      <c r="AT97" s="678">
        <f t="shared" si="53"/>
        <v>1.29E-2</v>
      </c>
      <c r="AU97" s="678">
        <f t="shared" si="54"/>
        <v>8.6E-3</v>
      </c>
      <c r="AV97" s="65">
        <f t="shared" si="21"/>
        <v>2.7000000000000003E-2</v>
      </c>
      <c r="AW97" s="65">
        <f>IF(Simulation!$D$42="Oui",Barèmes!$AY97,0)</f>
        <v>1.6200000000000003E-2</v>
      </c>
      <c r="AX97" s="65">
        <f>IF(Simulation!$D$42="Oui",Barèmes!$AZ97,0)</f>
        <v>1.0800000000000001E-2</v>
      </c>
      <c r="AY97" s="678">
        <f t="shared" si="55"/>
        <v>1.6200000000000003E-2</v>
      </c>
      <c r="AZ97" s="678">
        <f t="shared" si="56"/>
        <v>1.0800000000000001E-2</v>
      </c>
      <c r="BA97" s="69">
        <f>IF($F$1=1.8%,LOOKUP($A97,'AGIRC-ARRCO'!$B$6:$B$57,'AGIRC-ARRCO'!$C$6:$C$57),IF($F$1=1.5%,LOOKUP($A97,'AGIRC-ARRCO'!$B$6:$B$57,'AGIRC-ARRCO'!$D$6:$D$57),IF($F$1=1.3%,LOOKUP($A97,'AGIRC-ARRCO'!$B$6:$B$57,'AGIRC-ARRCO'!$E$6:$E$57),LOOKUP($A97,'AGIRC-ARRCO'!$B$6:$B$57,'AGIRC-ARRCO'!$F$6:$F$57))))</f>
        <v>32.8157</v>
      </c>
      <c r="BB97" s="69"/>
      <c r="BC97" s="69"/>
      <c r="BD97" s="69">
        <f>IF($F$1=1.8%,LOOKUP($A97,'AGIRC-ARRCO'!$B$6:$B$57,'AGIRC-ARRCO'!$G$6:$G$57),IF($F$1=1.5%,LOOKUP($A97,'AGIRC-ARRCO'!$B$6:$B$57,'AGIRC-ARRCO'!$H$6:$H$57),IF($F$1=1.3%,LOOKUP($A97,'AGIRC-ARRCO'!$B$6:$B$57,'AGIRC-ARRCO'!$I$6:$I$57),LOOKUP($A97,'AGIRC-ARRCO'!$B$6:$B$57,'AGIRC-ARRCO'!$J$6:$J$57))))</f>
        <v>2.1347999999999998</v>
      </c>
      <c r="BE97" s="69"/>
      <c r="BF97" s="69"/>
      <c r="BG97" s="71">
        <f t="shared" si="30"/>
        <v>2.10155</v>
      </c>
      <c r="BH97" s="71"/>
      <c r="BI97" s="71"/>
      <c r="BJ97" s="18">
        <f t="shared" si="31"/>
        <v>3516.0226521944319</v>
      </c>
      <c r="BL97" s="15">
        <v>2049</v>
      </c>
      <c r="BM97" s="22">
        <f>BM96*IF(Simulation!$D$35="SMPT",1+$E97,IF(Simulation!$D$35="PRIX",1+$B97))</f>
        <v>18425.878469821058</v>
      </c>
      <c r="BN97" s="23">
        <f>BN96*IF(Simulation!$D$35="SMPT",1+$E97,IF(Simulation!$D$35="PRIX",1+$B97))</f>
        <v>24088.670362807778</v>
      </c>
      <c r="BO97" s="23">
        <f>BO96*IF(Simulation!$D$35="SMPT",1+$E97,IF(Simulation!$D$35="PRIX",1+$B97))</f>
        <v>37384.763592433199</v>
      </c>
      <c r="BP97" s="5"/>
      <c r="BQ97" s="146">
        <v>0</v>
      </c>
      <c r="BR97" s="146">
        <v>4.2999999999999997E-2</v>
      </c>
      <c r="BS97" s="146">
        <v>7.3999999999999996E-2</v>
      </c>
      <c r="BT97" s="146">
        <v>9.0999999999999998E-2</v>
      </c>
      <c r="BV97" s="15">
        <v>2049</v>
      </c>
      <c r="BW97" s="22">
        <f>BW96*IF(Simulation!$D$35="SMPT",1+$E97,IF(Simulation!$D$35="PRIX",1+$B97))</f>
        <v>28265.504314679918</v>
      </c>
      <c r="BX97" s="23">
        <f>BX96*IF(Simulation!$D$35="SMPT",1+$E97,IF(Simulation!$D$35="PRIX",1+$B97))</f>
        <v>36951.897583499813</v>
      </c>
      <c r="BY97" s="23">
        <f>BY96*IF(Simulation!$D$35="SMPT",1+$E97,IF(Simulation!$D$35="PRIX",1+$B97))</f>
        <v>57345.055153622605</v>
      </c>
      <c r="BZ97" s="5"/>
      <c r="CA97" s="146">
        <v>0</v>
      </c>
      <c r="CB97" s="146">
        <f t="shared" si="41"/>
        <v>4.2999999999999997E-2</v>
      </c>
      <c r="CC97" s="146">
        <f t="shared" si="42"/>
        <v>7.3999999999999996E-2</v>
      </c>
      <c r="CD97" s="146">
        <f t="shared" si="43"/>
        <v>9.0999999999999998E-2</v>
      </c>
      <c r="CE97" s="146">
        <f t="shared" si="43"/>
        <v>3.2000000000000001E-2</v>
      </c>
      <c r="CG97" s="15">
        <v>2049</v>
      </c>
      <c r="CH97" s="317">
        <f t="shared" si="57"/>
        <v>9.1999999999999998E-2</v>
      </c>
      <c r="CI97" s="311">
        <f t="shared" si="25"/>
        <v>6.8000000000000005E-2</v>
      </c>
      <c r="CJ97" s="311">
        <f t="shared" si="26"/>
        <v>5.0000000000000001E-3</v>
      </c>
      <c r="CK97" s="311">
        <f t="shared" si="26"/>
        <v>0.98250000000000004</v>
      </c>
      <c r="CL97" s="313">
        <f t="shared" si="27"/>
        <v>0</v>
      </c>
      <c r="CM97" s="313">
        <v>0</v>
      </c>
      <c r="CN97" s="313">
        <v>0</v>
      </c>
      <c r="CO97" s="318">
        <f t="shared" si="28"/>
        <v>2.4000000000000001E-4</v>
      </c>
    </row>
    <row r="98" spans="1:93" x14ac:dyDescent="0.25">
      <c r="A98" s="15">
        <v>2050</v>
      </c>
      <c r="B98" s="54">
        <f>IF($F$1=1.8%,LOOKUP($A98,Prix!B$6:B$127,Prix!$G$6:$G$127),IF($F$1=1.5%,LOOKUP($A98,Prix!B$6:B$127,Prix!$H$6:$H$127),IF($F$1=1.3%,LOOKUP($A98,Prix!B$6:B$127,Prix!$I$6:$I$127),LOOKUP($A98,Prix!B$6:B$127,Prix!$J$6:$J$127))))</f>
        <v>1.7500000000000002E-2</v>
      </c>
      <c r="C98" s="7">
        <f t="shared" si="33"/>
        <v>1.6255560627490071</v>
      </c>
      <c r="D98" s="5">
        <f>IF($F$1=1.8%,LOOKUP($A98,SMPT!$B$6:$B$127,SMPT!$C$6:$C$127),IF($F$1=1.5%,LOOKUP($A98,SMPT!$B$6:$B$127,SMPT!$D$6:$D$127),IF($F$1=1.3%,LOOKUP($A98,SMPT!$B$6:$B$127,SMPT!$E$6:$E$127),LOOKUP($A98,SMPT!$B$6:$B$127,SMPT!$F$6:$F$127))))</f>
        <v>90173.264024521428</v>
      </c>
      <c r="E98" s="17">
        <f t="shared" si="34"/>
        <v>3.0727500000000019E-2</v>
      </c>
      <c r="F98" s="60">
        <f>IF($F$1=1.8%,LOOKUP($A98,SMIC!$B$6:$B$125,SMIC!$C$6:$C$125),IF($F$1=1.5%,LOOKUP($A98,SMIC!$B$6:$B$125,SMIC!$D$6:$D$125),IF($F$1=1.3%,LOOKUP($A98,SMIC!$B$6:$B$125,SMIC!$E$6:$E$125),LOOKUP($A98,SMIC!$B$6:$B$125,SMIC!$F$6:$F$125))))</f>
        <v>40087.896231054045</v>
      </c>
      <c r="G98" s="153">
        <f t="shared" si="29"/>
        <v>2.4550942086174561</v>
      </c>
      <c r="H98" s="357">
        <f t="shared" si="23"/>
        <v>3.0697794402166911E-2</v>
      </c>
      <c r="I98" s="15">
        <v>2050</v>
      </c>
      <c r="J98" s="13">
        <f t="shared" si="35"/>
        <v>45806.410274050526</v>
      </c>
      <c r="K98" s="65">
        <f t="shared" si="44"/>
        <v>0.17749999999999999</v>
      </c>
      <c r="L98" s="65">
        <f t="shared" si="36"/>
        <v>0.10450000000000001</v>
      </c>
      <c r="M98" s="65">
        <f t="shared" si="37"/>
        <v>7.2999999999999982E-2</v>
      </c>
      <c r="N98" s="65">
        <f t="shared" si="16"/>
        <v>2.3000000000000003E-2</v>
      </c>
      <c r="O98" s="65">
        <f>IF(Simulation!$D$43="Oui",$Q98,0)</f>
        <v>1.9000000000000003E-2</v>
      </c>
      <c r="P98" s="65">
        <f>IF(Simulation!$D$43="Oui",$R98,0)</f>
        <v>4.0000000000000001E-3</v>
      </c>
      <c r="Q98" s="678">
        <f t="shared" si="38"/>
        <v>1.9000000000000003E-2</v>
      </c>
      <c r="R98" s="678">
        <f t="shared" si="38"/>
        <v>4.0000000000000001E-3</v>
      </c>
      <c r="S98" s="56">
        <f>IF($F$1=1.8%,LOOKUP($A98,Sal_valid!$B$6:$B$127,Sal_valid!$C$6:$C$127),IF($F$1=1.5%,LOOKUP($A98,Sal_valid!$B$6:$B$127,Sal_valid!$D$6:$D$127),IF($F$1=1.3%,LOOKUP($A98,Sal_valid!$B$6:$B$127,Sal_valid!$E$6:$E$127),LOOKUP($A98,Sal_valid!$B$6:$B$127,Sal_valid!$F$6:$F$127))))</f>
        <v>3303.8303113820048</v>
      </c>
      <c r="T98" s="76">
        <f>IF(Simulation!$D$33="Prix",Revalo_RB!$D110,Barèmes!$E98)</f>
        <v>1.7500000000000002E-2</v>
      </c>
      <c r="U98" s="76">
        <f>IF(Simulation!$D$34="Prix",Revalo_RB!$H110,Barèmes!$E98)</f>
        <v>1.7500000000000002E-2</v>
      </c>
      <c r="V98" s="56">
        <f>IF($F$1=1.8%,LOOKUP($A98,PSS!$B$6:$B$127,PSS!$C$6:$C$127),IF($F$1=1.5%,LOOKUP($A98,PSS!$B$6:$B$127,PSS!$D$6:$D$127),IF($F$1=1.3%,LOOKUP($A98,PSS!$B$6:$B$127,PSS!$E$6:$E$127),LOOKUP($A98,PSS!$B$6:$B$127,PSS!$F$6:$F$127))))</f>
        <v>95892</v>
      </c>
      <c r="W98" s="56">
        <f>IF($F$1=1.8%,LOOKUP($A98,Smic_AVPF!$B$6:$B$104,Smic_AVPF!$C$6:$C$104),IF($F$1=1.5%,LOOKUP($A98,Smic_AVPF!$B$6:$B$104,Smic_AVPF!$D$6:$D$104),IF($F$1=1.3%,LOOKUP($A98,Smic_AVPF!$B$6:$B$104,Smic_AVPF!$E$6:$E$104),LOOKUP($A98,Smic_AVPF!$B$6:$B$104,Smic_AVPF!$F$6:$F$104))))</f>
        <v>44139.693760900838</v>
      </c>
      <c r="X98" s="56">
        <f>IF(Simulation!$D$32="SMPT",(1+$E98)*X97,IF(Simulation!$D$32="PRIX",Minima!$O47))</f>
        <v>12586.131772192044</v>
      </c>
      <c r="Y98" s="56">
        <f>IF(Simulation!$D$32="SMPT",(1+$E98)*Y97,IF(Simulation!$D$32="PRIX",Minima!$P47))</f>
        <v>13753.197569426584</v>
      </c>
      <c r="Z98" s="56">
        <f t="shared" si="45"/>
        <v>23463.569767239544</v>
      </c>
      <c r="AA98" s="58"/>
      <c r="AB98" s="15">
        <v>2050</v>
      </c>
      <c r="AC98" s="64">
        <f t="shared" si="46"/>
        <v>6.2E-2</v>
      </c>
      <c r="AD98" s="65">
        <f t="shared" si="39"/>
        <v>3.7200000000000004E-2</v>
      </c>
      <c r="AE98" s="65">
        <f t="shared" si="47"/>
        <v>2.4799999999999996E-2</v>
      </c>
      <c r="AF98" s="65">
        <f t="shared" si="48"/>
        <v>0.17</v>
      </c>
      <c r="AG98" s="65">
        <f t="shared" si="40"/>
        <v>0.10200000000000001</v>
      </c>
      <c r="AH98" s="65">
        <f t="shared" si="49"/>
        <v>6.8000000000000005E-2</v>
      </c>
      <c r="AI98" s="66">
        <f t="shared" si="50"/>
        <v>1.27</v>
      </c>
      <c r="AJ98" s="66"/>
      <c r="AK98" s="66"/>
      <c r="AL98" s="65">
        <f t="shared" si="20"/>
        <v>3.4999999999999996E-3</v>
      </c>
      <c r="AM98" s="65">
        <f>IF(Simulation!$D$42="Oui",Barèmes!$AO98,0)</f>
        <v>2.0999999999999999E-3</v>
      </c>
      <c r="AN98" s="65">
        <f>IF(Simulation!$D$42="Oui",Barèmes!$AP98,0)</f>
        <v>1.3999999999999998E-3</v>
      </c>
      <c r="AO98" s="678">
        <f t="shared" si="51"/>
        <v>2.0999999999999999E-3</v>
      </c>
      <c r="AP98" s="678">
        <f t="shared" si="52"/>
        <v>1.3999999999999998E-3</v>
      </c>
      <c r="AQ98" s="65">
        <f t="shared" si="15"/>
        <v>2.1499999999999998E-2</v>
      </c>
      <c r="AR98" s="65">
        <f>IF(Simulation!$D$42="Oui",Barèmes!$AT98,0)</f>
        <v>1.29E-2</v>
      </c>
      <c r="AS98" s="65">
        <f>IF(Simulation!$D$42="Oui",Barèmes!$AU98,0)</f>
        <v>8.6E-3</v>
      </c>
      <c r="AT98" s="678">
        <f t="shared" si="53"/>
        <v>1.29E-2</v>
      </c>
      <c r="AU98" s="678">
        <f t="shared" si="54"/>
        <v>8.6E-3</v>
      </c>
      <c r="AV98" s="65">
        <f t="shared" si="21"/>
        <v>2.7000000000000003E-2</v>
      </c>
      <c r="AW98" s="65">
        <f>IF(Simulation!$D$42="Oui",Barèmes!$AY98,0)</f>
        <v>1.6200000000000003E-2</v>
      </c>
      <c r="AX98" s="65">
        <f>IF(Simulation!$D$42="Oui",Barèmes!$AZ98,0)</f>
        <v>1.0800000000000001E-2</v>
      </c>
      <c r="AY98" s="678">
        <f t="shared" si="55"/>
        <v>1.6200000000000003E-2</v>
      </c>
      <c r="AZ98" s="678">
        <f t="shared" si="56"/>
        <v>1.0800000000000001E-2</v>
      </c>
      <c r="BA98" s="69">
        <f>IF($F$1=1.8%,LOOKUP($A98,'AGIRC-ARRCO'!$B$6:$B$57,'AGIRC-ARRCO'!$C$6:$C$57),IF($F$1=1.5%,LOOKUP($A98,'AGIRC-ARRCO'!$B$6:$B$57,'AGIRC-ARRCO'!$D$6:$D$57),IF($F$1=1.3%,LOOKUP($A98,'AGIRC-ARRCO'!$B$6:$B$57,'AGIRC-ARRCO'!$E$6:$E$57),LOOKUP($A98,'AGIRC-ARRCO'!$B$6:$B$57,'AGIRC-ARRCO'!$F$6:$F$57))))</f>
        <v>33.442500000000003</v>
      </c>
      <c r="BB98" s="69"/>
      <c r="BC98" s="69"/>
      <c r="BD98" s="69">
        <f>IF($F$1=1.8%,LOOKUP($A98,'AGIRC-ARRCO'!$B$6:$B$57,'AGIRC-ARRCO'!$G$6:$G$57),IF($F$1=1.5%,LOOKUP($A98,'AGIRC-ARRCO'!$B$6:$B$57,'AGIRC-ARRCO'!$H$6:$H$57),IF($F$1=1.3%,LOOKUP($A98,'AGIRC-ARRCO'!$B$6:$B$57,'AGIRC-ARRCO'!$I$6:$I$57),LOOKUP($A98,'AGIRC-ARRCO'!$B$6:$B$57,'AGIRC-ARRCO'!$J$6:$J$57))))</f>
        <v>2.1755</v>
      </c>
      <c r="BE98" s="69"/>
      <c r="BF98" s="69"/>
      <c r="BG98" s="71">
        <f t="shared" si="30"/>
        <v>2.1415833333333332</v>
      </c>
      <c r="BH98" s="71"/>
      <c r="BI98" s="71"/>
      <c r="BJ98" s="18">
        <f t="shared" si="31"/>
        <v>3583.0556866446445</v>
      </c>
      <c r="BL98" s="15">
        <v>2050</v>
      </c>
      <c r="BM98" s="22">
        <f>BM97*IF(Simulation!$D$35="SMPT",1+$E98,IF(Simulation!$D$35="PRIX",1+$B98))</f>
        <v>18748.33134304293</v>
      </c>
      <c r="BN98" s="23">
        <f>BN97*IF(Simulation!$D$35="SMPT",1+$E98,IF(Simulation!$D$35="PRIX",1+$B98))</f>
        <v>24510.222094156914</v>
      </c>
      <c r="BO98" s="23">
        <f>BO97*IF(Simulation!$D$35="SMPT",1+$E98,IF(Simulation!$D$35="PRIX",1+$B98))</f>
        <v>38038.996955300783</v>
      </c>
      <c r="BP98" s="5"/>
      <c r="BQ98" s="146">
        <v>0</v>
      </c>
      <c r="BR98" s="146">
        <v>4.2999999999999997E-2</v>
      </c>
      <c r="BS98" s="146">
        <v>7.3999999999999996E-2</v>
      </c>
      <c r="BT98" s="146">
        <v>9.0999999999999998E-2</v>
      </c>
      <c r="BV98" s="15">
        <v>2050</v>
      </c>
      <c r="BW98" s="22">
        <f>BW97*IF(Simulation!$D$35="SMPT",1+$E98,IF(Simulation!$D$35="PRIX",1+$B98))</f>
        <v>28760.150640186817</v>
      </c>
      <c r="BX98" s="23">
        <f>BX97*IF(Simulation!$D$35="SMPT",1+$E98,IF(Simulation!$D$35="PRIX",1+$B98))</f>
        <v>37598.55579121106</v>
      </c>
      <c r="BY98" s="23">
        <f>BY97*IF(Simulation!$D$35="SMPT",1+$E98,IF(Simulation!$D$35="PRIX",1+$B98))</f>
        <v>58348.593618811006</v>
      </c>
      <c r="BZ98" s="5"/>
      <c r="CA98" s="146">
        <v>0</v>
      </c>
      <c r="CB98" s="146">
        <f t="shared" si="41"/>
        <v>4.2999999999999997E-2</v>
      </c>
      <c r="CC98" s="146">
        <f t="shared" si="42"/>
        <v>7.3999999999999996E-2</v>
      </c>
      <c r="CD98" s="146">
        <f t="shared" si="43"/>
        <v>9.0999999999999998E-2</v>
      </c>
      <c r="CE98" s="146">
        <f t="shared" si="43"/>
        <v>3.2000000000000001E-2</v>
      </c>
      <c r="CG98" s="15">
        <v>2050</v>
      </c>
      <c r="CH98" s="317">
        <f t="shared" si="57"/>
        <v>9.1999999999999998E-2</v>
      </c>
      <c r="CI98" s="311">
        <f t="shared" si="25"/>
        <v>6.8000000000000005E-2</v>
      </c>
      <c r="CJ98" s="311">
        <f t="shared" si="26"/>
        <v>5.0000000000000001E-3</v>
      </c>
      <c r="CK98" s="311">
        <f t="shared" si="26"/>
        <v>0.98250000000000004</v>
      </c>
      <c r="CL98" s="313">
        <f t="shared" si="27"/>
        <v>0</v>
      </c>
      <c r="CM98" s="313">
        <v>0</v>
      </c>
      <c r="CN98" s="313">
        <v>0</v>
      </c>
      <c r="CO98" s="318">
        <f t="shared" si="28"/>
        <v>2.4000000000000001E-4</v>
      </c>
    </row>
    <row r="99" spans="1:93" x14ac:dyDescent="0.25">
      <c r="A99" s="15">
        <v>2051</v>
      </c>
      <c r="B99" s="54">
        <f>IF($F$1=1.8%,LOOKUP($A99,Prix!B$6:B$127,Prix!$G$6:$G$127),IF($F$1=1.5%,LOOKUP($A99,Prix!B$6:B$127,Prix!$H$6:$H$127),IF($F$1=1.3%,LOOKUP($A99,Prix!B$6:B$127,Prix!$I$6:$I$127),LOOKUP($A99,Prix!B$6:B$127,Prix!$J$6:$J$127))))</f>
        <v>1.7500000000000002E-2</v>
      </c>
      <c r="C99" s="7">
        <f t="shared" si="33"/>
        <v>1.6540032938471148</v>
      </c>
      <c r="D99" s="5">
        <f>IF($F$1=1.8%,LOOKUP($A99,SMPT!$B$6:$B$127,SMPT!$C$6:$C$127),IF($F$1=1.5%,LOOKUP($A99,SMPT!$B$6:$B$127,SMPT!$D$6:$D$127),IF($F$1=1.3%,LOOKUP($A99,SMPT!$B$6:$B$127,SMPT!$E$6:$E$127),LOOKUP($A99,SMPT!$B$6:$B$127,SMPT!$F$6:$F$127))))</f>
        <v>92944.062994834909</v>
      </c>
      <c r="E99" s="17">
        <f t="shared" si="34"/>
        <v>3.0727500000000019E-2</v>
      </c>
      <c r="F99" s="60">
        <f>IF($F$1=1.8%,LOOKUP($A99,SMIC!$B$6:$B$125,SMIC!$C$6:$C$125),IF($F$1=1.5%,LOOKUP($A99,SMIC!$B$6:$B$125,SMIC!$D$6:$D$125),IF($F$1=1.3%,LOOKUP($A99,SMIC!$B$6:$B$125,SMIC!$E$6:$E$125),LOOKUP($A99,SMIC!$B$6:$B$125,SMIC!$F$6:$F$125))))</f>
        <v>41319.697062493753</v>
      </c>
      <c r="G99" s="153">
        <f t="shared" si="29"/>
        <v>2.5305331159127489</v>
      </c>
      <c r="H99" s="357">
        <f t="shared" si="23"/>
        <v>3.0659491928419547E-2</v>
      </c>
      <c r="I99" s="15">
        <v>2051</v>
      </c>
      <c r="J99" s="13">
        <f t="shared" si="35"/>
        <v>47213.926745746408</v>
      </c>
      <c r="K99" s="65">
        <f t="shared" si="44"/>
        <v>0.17749999999999999</v>
      </c>
      <c r="L99" s="65">
        <f t="shared" si="36"/>
        <v>0.10450000000000001</v>
      </c>
      <c r="M99" s="65">
        <f t="shared" si="37"/>
        <v>7.2999999999999982E-2</v>
      </c>
      <c r="N99" s="65">
        <f t="shared" si="16"/>
        <v>2.3000000000000003E-2</v>
      </c>
      <c r="O99" s="65">
        <f>IF(Simulation!$D$43="Oui",$Q99,0)</f>
        <v>1.9000000000000003E-2</v>
      </c>
      <c r="P99" s="65">
        <f>IF(Simulation!$D$43="Oui",$R99,0)</f>
        <v>4.0000000000000001E-3</v>
      </c>
      <c r="Q99" s="678">
        <f t="shared" si="38"/>
        <v>1.9000000000000003E-2</v>
      </c>
      <c r="R99" s="678">
        <f t="shared" si="38"/>
        <v>4.0000000000000001E-3</v>
      </c>
      <c r="S99" s="56">
        <f>IF($F$1=1.8%,LOOKUP($A99,Sal_valid!$B$6:$B$127,Sal_valid!$C$6:$C$127),IF($F$1=1.5%,LOOKUP($A99,Sal_valid!$B$6:$B$127,Sal_valid!$D$6:$D$127),IF($F$1=1.3%,LOOKUP($A99,Sal_valid!$B$6:$B$127,Sal_valid!$E$6:$E$127),LOOKUP($A99,Sal_valid!$B$6:$B$127,Sal_valid!$F$6:$F$127))))</f>
        <v>3405.3487572749955</v>
      </c>
      <c r="T99" s="76">
        <f>IF(Simulation!$D$33="Prix",Revalo_RB!$D111,Barèmes!$E99)</f>
        <v>1.7500000000000002E-2</v>
      </c>
      <c r="U99" s="76">
        <f>IF(Simulation!$D$34="Prix",Revalo_RB!$H111,Barèmes!$E99)</f>
        <v>1.7500000000000002E-2</v>
      </c>
      <c r="V99" s="56">
        <f>IF($F$1=1.8%,LOOKUP($A99,PSS!$B$6:$B$127,PSS!$C$6:$C$127),IF($F$1=1.5%,LOOKUP($A99,PSS!$B$6:$B$127,PSS!$D$6:$D$127),IF($F$1=1.3%,LOOKUP($A99,PSS!$B$6:$B$127,PSS!$E$6:$E$127),LOOKUP($A99,PSS!$B$6:$B$127,PSS!$F$6:$F$127))))</f>
        <v>98832</v>
      </c>
      <c r="W99" s="56">
        <f>IF($F$1=1.8%,LOOKUP($A99,Smic_AVPF!$B$6:$B$104,Smic_AVPF!$C$6:$C$104),IF($F$1=1.5%,LOOKUP($A99,Smic_AVPF!$B$6:$B$104,Smic_AVPF!$D$6:$D$104),IF($F$1=1.3%,LOOKUP($A99,Smic_AVPF!$B$6:$B$104,Smic_AVPF!$E$6:$E$104),LOOKUP($A99,Smic_AVPF!$B$6:$B$104,Smic_AVPF!$F$6:$F$104))))</f>
        <v>45495.99620093892</v>
      </c>
      <c r="X99" s="56">
        <f>IF(Simulation!$D$32="SMPT",(1+$E99)*X98,IF(Simulation!$D$32="PRIX",Minima!$O48))</f>
        <v>12806.389078205406</v>
      </c>
      <c r="Y99" s="56">
        <f>IF(Simulation!$D$32="SMPT",(1+$E99)*Y98,IF(Simulation!$D$32="PRIX",Minima!$P48))</f>
        <v>13993.878526891551</v>
      </c>
      <c r="Z99" s="56">
        <f t="shared" si="45"/>
        <v>23874.182238166239</v>
      </c>
      <c r="AA99" s="58"/>
      <c r="AB99" s="15">
        <v>2051</v>
      </c>
      <c r="AC99" s="64">
        <f t="shared" si="46"/>
        <v>6.2E-2</v>
      </c>
      <c r="AD99" s="65">
        <f t="shared" si="39"/>
        <v>3.7200000000000004E-2</v>
      </c>
      <c r="AE99" s="65">
        <f t="shared" si="47"/>
        <v>2.4799999999999996E-2</v>
      </c>
      <c r="AF99" s="65">
        <f t="shared" si="48"/>
        <v>0.17</v>
      </c>
      <c r="AG99" s="65">
        <f t="shared" si="40"/>
        <v>0.10200000000000001</v>
      </c>
      <c r="AH99" s="65">
        <f t="shared" si="49"/>
        <v>6.8000000000000005E-2</v>
      </c>
      <c r="AI99" s="66">
        <f t="shared" si="50"/>
        <v>1.27</v>
      </c>
      <c r="AJ99" s="66"/>
      <c r="AK99" s="66"/>
      <c r="AL99" s="65">
        <f t="shared" si="20"/>
        <v>3.4999999999999996E-3</v>
      </c>
      <c r="AM99" s="65">
        <f>IF(Simulation!$D$42="Oui",Barèmes!$AO99,0)</f>
        <v>2.0999999999999999E-3</v>
      </c>
      <c r="AN99" s="65">
        <f>IF(Simulation!$D$42="Oui",Barèmes!$AP99,0)</f>
        <v>1.3999999999999998E-3</v>
      </c>
      <c r="AO99" s="678">
        <f t="shared" si="51"/>
        <v>2.0999999999999999E-3</v>
      </c>
      <c r="AP99" s="678">
        <f t="shared" si="52"/>
        <v>1.3999999999999998E-3</v>
      </c>
      <c r="AQ99" s="65">
        <f t="shared" si="15"/>
        <v>2.1499999999999998E-2</v>
      </c>
      <c r="AR99" s="65">
        <f>IF(Simulation!$D$42="Oui",Barèmes!$AT99,0)</f>
        <v>1.29E-2</v>
      </c>
      <c r="AS99" s="65">
        <f>IF(Simulation!$D$42="Oui",Barèmes!$AU99,0)</f>
        <v>8.6E-3</v>
      </c>
      <c r="AT99" s="678">
        <f t="shared" si="53"/>
        <v>1.29E-2</v>
      </c>
      <c r="AU99" s="678">
        <f t="shared" si="54"/>
        <v>8.6E-3</v>
      </c>
      <c r="AV99" s="65">
        <f t="shared" si="21"/>
        <v>2.7000000000000003E-2</v>
      </c>
      <c r="AW99" s="65">
        <f>IF(Simulation!$D$42="Oui",Barèmes!$AY99,0)</f>
        <v>1.6200000000000003E-2</v>
      </c>
      <c r="AX99" s="65">
        <f>IF(Simulation!$D$42="Oui",Barèmes!$AZ99,0)</f>
        <v>1.0800000000000001E-2</v>
      </c>
      <c r="AY99" s="678">
        <f t="shared" si="55"/>
        <v>1.6200000000000003E-2</v>
      </c>
      <c r="AZ99" s="678">
        <f t="shared" si="56"/>
        <v>1.0800000000000001E-2</v>
      </c>
      <c r="BA99" s="69">
        <f>IF($F$1=1.8%,LOOKUP($A99,'AGIRC-ARRCO'!$B$6:$B$57,'AGIRC-ARRCO'!$C$6:$C$57),IF($F$1=1.5%,LOOKUP($A99,'AGIRC-ARRCO'!$B$6:$B$57,'AGIRC-ARRCO'!$D$6:$D$57),IF($F$1=1.3%,LOOKUP($A99,'AGIRC-ARRCO'!$B$6:$B$57,'AGIRC-ARRCO'!$E$6:$E$57),LOOKUP($A99,'AGIRC-ARRCO'!$B$6:$B$57,'AGIRC-ARRCO'!$F$6:$F$57))))</f>
        <v>34.081299999999999</v>
      </c>
      <c r="BB99" s="69"/>
      <c r="BC99" s="69"/>
      <c r="BD99" s="69">
        <f>IF($F$1=1.8%,LOOKUP($A99,'AGIRC-ARRCO'!$B$6:$B$57,'AGIRC-ARRCO'!$G$6:$G$57),IF($F$1=1.5%,LOOKUP($A99,'AGIRC-ARRCO'!$B$6:$B$57,'AGIRC-ARRCO'!$H$6:$H$57),IF($F$1=1.3%,LOOKUP($A99,'AGIRC-ARRCO'!$B$6:$B$57,'AGIRC-ARRCO'!$I$6:$I$57),LOOKUP($A99,'AGIRC-ARRCO'!$B$6:$B$57,'AGIRC-ARRCO'!$J$6:$J$57))))</f>
        <v>2.2170000000000001</v>
      </c>
      <c r="BE99" s="69"/>
      <c r="BF99" s="69"/>
      <c r="BG99" s="71">
        <f t="shared" si="30"/>
        <v>2.1824166666666667</v>
      </c>
      <c r="BH99" s="71"/>
      <c r="BI99" s="71"/>
      <c r="BJ99" s="18">
        <f t="shared" si="31"/>
        <v>3651.4063237376131</v>
      </c>
      <c r="BL99" s="15">
        <v>2051</v>
      </c>
      <c r="BM99" s="22">
        <f>BM98*IF(Simulation!$D$35="SMPT",1+$E99,IF(Simulation!$D$35="PRIX",1+$B99))</f>
        <v>19076.427141546181</v>
      </c>
      <c r="BN99" s="23">
        <f>BN98*IF(Simulation!$D$35="SMPT",1+$E99,IF(Simulation!$D$35="PRIX",1+$B99))</f>
        <v>24939.150980804661</v>
      </c>
      <c r="BO99" s="23">
        <f>BO98*IF(Simulation!$D$35="SMPT",1+$E99,IF(Simulation!$D$35="PRIX",1+$B99))</f>
        <v>38704.679402018548</v>
      </c>
      <c r="BP99" s="5"/>
      <c r="BQ99" s="146">
        <v>0</v>
      </c>
      <c r="BR99" s="146">
        <v>4.2999999999999997E-2</v>
      </c>
      <c r="BS99" s="146">
        <v>7.3999999999999996E-2</v>
      </c>
      <c r="BT99" s="146">
        <v>9.0999999999999998E-2</v>
      </c>
      <c r="BV99" s="15">
        <v>2051</v>
      </c>
      <c r="BW99" s="22">
        <f>BW98*IF(Simulation!$D$35="SMPT",1+$E99,IF(Simulation!$D$35="PRIX",1+$B99))</f>
        <v>29263.45327639009</v>
      </c>
      <c r="BX99" s="23">
        <f>BX98*IF(Simulation!$D$35="SMPT",1+$E99,IF(Simulation!$D$35="PRIX",1+$B99))</f>
        <v>38256.530517557258</v>
      </c>
      <c r="BY99" s="23">
        <f>BY98*IF(Simulation!$D$35="SMPT",1+$E99,IF(Simulation!$D$35="PRIX",1+$B99))</f>
        <v>59369.694007140206</v>
      </c>
      <c r="BZ99" s="5"/>
      <c r="CA99" s="146">
        <v>0</v>
      </c>
      <c r="CB99" s="146">
        <f t="shared" si="41"/>
        <v>4.2999999999999997E-2</v>
      </c>
      <c r="CC99" s="146">
        <f t="shared" si="42"/>
        <v>7.3999999999999996E-2</v>
      </c>
      <c r="CD99" s="146">
        <f t="shared" si="43"/>
        <v>9.0999999999999998E-2</v>
      </c>
      <c r="CE99" s="146">
        <f t="shared" si="43"/>
        <v>3.2000000000000001E-2</v>
      </c>
      <c r="CG99" s="15">
        <v>2051</v>
      </c>
      <c r="CH99" s="317">
        <f t="shared" si="57"/>
        <v>9.1999999999999998E-2</v>
      </c>
      <c r="CI99" s="311">
        <f t="shared" si="25"/>
        <v>6.8000000000000005E-2</v>
      </c>
      <c r="CJ99" s="311">
        <f t="shared" si="26"/>
        <v>5.0000000000000001E-3</v>
      </c>
      <c r="CK99" s="311">
        <f t="shared" si="26"/>
        <v>0.98250000000000004</v>
      </c>
      <c r="CL99" s="313">
        <f t="shared" si="27"/>
        <v>0</v>
      </c>
      <c r="CM99" s="313">
        <v>0</v>
      </c>
      <c r="CN99" s="313">
        <v>0</v>
      </c>
      <c r="CO99" s="318">
        <f t="shared" si="28"/>
        <v>2.4000000000000001E-4</v>
      </c>
    </row>
    <row r="100" spans="1:93" x14ac:dyDescent="0.25">
      <c r="A100" s="15">
        <v>2052</v>
      </c>
      <c r="B100" s="54">
        <f>IF($F$1=1.8%,LOOKUP($A100,Prix!B$6:B$127,Prix!$G$6:$G$127),IF($F$1=1.5%,LOOKUP($A100,Prix!B$6:B$127,Prix!$H$6:$H$127),IF($F$1=1.3%,LOOKUP($A100,Prix!B$6:B$127,Prix!$I$6:$I$127),LOOKUP($A100,Prix!B$6:B$127,Prix!$J$6:$J$127))))</f>
        <v>1.7500000000000002E-2</v>
      </c>
      <c r="C100" s="7">
        <f t="shared" si="33"/>
        <v>1.6829483514894394</v>
      </c>
      <c r="D100" s="5">
        <f>IF($F$1=1.8%,LOOKUP($A100,SMPT!$B$6:$B$127,SMPT!$C$6:$C$127),IF($F$1=1.5%,LOOKUP($A100,SMPT!$B$6:$B$127,SMPT!$D$6:$D$127),IF($F$1=1.3%,LOOKUP($A100,SMPT!$B$6:$B$127,SMPT!$E$6:$E$127),LOOKUP($A100,SMPT!$B$6:$B$127,SMPT!$F$6:$F$127))))</f>
        <v>95800.001690508696</v>
      </c>
      <c r="E100" s="17">
        <f t="shared" si="34"/>
        <v>3.0727500000000019E-2</v>
      </c>
      <c r="F100" s="60">
        <f>IF($F$1=1.8%,LOOKUP($A100,SMIC!$B$6:$B$125,SMIC!$C$6:$C$125),IF($F$1=1.5%,LOOKUP($A100,SMIC!$B$6:$B$125,SMIC!$D$6:$D$125),IF($F$1=1.3%,LOOKUP($A100,SMIC!$B$6:$B$125,SMIC!$E$6:$E$125),LOOKUP($A100,SMIC!$B$6:$B$125,SMIC!$F$6:$F$125))))</f>
        <v>42589.348053981535</v>
      </c>
      <c r="G100" s="153">
        <f t="shared" si="29"/>
        <v>2.608290072231958</v>
      </c>
      <c r="H100" s="357">
        <f t="shared" si="23"/>
        <v>3.071879553181156E-2</v>
      </c>
      <c r="I100" s="15">
        <v>2052</v>
      </c>
      <c r="J100" s="13">
        <f t="shared" si="35"/>
        <v>48664.692679826338</v>
      </c>
      <c r="K100" s="65">
        <f t="shared" si="44"/>
        <v>0.17749999999999999</v>
      </c>
      <c r="L100" s="65">
        <f t="shared" si="36"/>
        <v>0.10450000000000001</v>
      </c>
      <c r="M100" s="65">
        <f t="shared" si="37"/>
        <v>7.2999999999999982E-2</v>
      </c>
      <c r="N100" s="65">
        <f t="shared" si="16"/>
        <v>2.3000000000000003E-2</v>
      </c>
      <c r="O100" s="65">
        <f>IF(Simulation!$D$43="Oui",$Q100,0)</f>
        <v>1.9000000000000003E-2</v>
      </c>
      <c r="P100" s="65">
        <f>IF(Simulation!$D$43="Oui",$R100,0)</f>
        <v>4.0000000000000001E-3</v>
      </c>
      <c r="Q100" s="678">
        <f t="shared" si="38"/>
        <v>1.9000000000000003E-2</v>
      </c>
      <c r="R100" s="678">
        <f t="shared" si="38"/>
        <v>4.0000000000000001E-3</v>
      </c>
      <c r="S100" s="56">
        <f>IF($F$1=1.8%,LOOKUP($A100,Sal_valid!$B$6:$B$127,Sal_valid!$C$6:$C$127),IF($F$1=1.5%,LOOKUP($A100,Sal_valid!$B$6:$B$127,Sal_valid!$D$6:$D$127),IF($F$1=1.3%,LOOKUP($A100,Sal_valid!$B$6:$B$127,Sal_valid!$E$6:$E$127),LOOKUP($A100,Sal_valid!$B$6:$B$127,Sal_valid!$F$6:$F$127))))</f>
        <v>3509.9866112141626</v>
      </c>
      <c r="T100" s="76">
        <f>IF(Simulation!$D$33="Prix",Revalo_RB!$D112,Barèmes!$E100)</f>
        <v>1.7500000000000002E-2</v>
      </c>
      <c r="U100" s="76">
        <f>IF(Simulation!$D$34="Prix",Revalo_RB!$H112,Barèmes!$E100)</f>
        <v>1.7500000000000002E-2</v>
      </c>
      <c r="V100" s="56">
        <f>IF($F$1=1.8%,LOOKUP($A100,PSS!$B$6:$B$127,PSS!$C$6:$C$127),IF($F$1=1.5%,LOOKUP($A100,PSS!$B$6:$B$127,PSS!$D$6:$D$127),IF($F$1=1.3%,LOOKUP($A100,PSS!$B$6:$B$127,PSS!$E$6:$E$127),LOOKUP($A100,PSS!$B$6:$B$127,PSS!$F$6:$F$127))))</f>
        <v>101868</v>
      </c>
      <c r="W100" s="56">
        <f>IF($F$1=1.8%,LOOKUP($A100,Smic_AVPF!$B$6:$B$104,Smic_AVPF!$C$6:$C$104),IF($F$1=1.5%,LOOKUP($A100,Smic_AVPF!$B$6:$B$104,Smic_AVPF!$D$6:$D$104),IF($F$1=1.3%,LOOKUP($A100,Smic_AVPF!$B$6:$B$104,Smic_AVPF!$E$6:$E$104),LOOKUP($A100,Smic_AVPF!$B$6:$B$104,Smic_AVPF!$F$6:$F$104))))</f>
        <v>46893.974424203268</v>
      </c>
      <c r="X100" s="56">
        <f>IF(Simulation!$D$32="SMPT",(1+$E100)*X99,IF(Simulation!$D$32="PRIX",Minima!$O49))</f>
        <v>13030.500887074002</v>
      </c>
      <c r="Y100" s="56">
        <f>IF(Simulation!$D$32="SMPT",(1+$E100)*Y99,IF(Simulation!$D$32="PRIX",Minima!$P49))</f>
        <v>14238.771401112153</v>
      </c>
      <c r="Z100" s="56">
        <f t="shared" si="45"/>
        <v>24291.980427334151</v>
      </c>
      <c r="AA100" s="58"/>
      <c r="AB100" s="15">
        <v>2052</v>
      </c>
      <c r="AC100" s="64">
        <f t="shared" si="46"/>
        <v>6.2E-2</v>
      </c>
      <c r="AD100" s="65">
        <f t="shared" si="39"/>
        <v>3.7200000000000004E-2</v>
      </c>
      <c r="AE100" s="65">
        <f t="shared" si="47"/>
        <v>2.4799999999999996E-2</v>
      </c>
      <c r="AF100" s="65">
        <f t="shared" si="48"/>
        <v>0.17</v>
      </c>
      <c r="AG100" s="65">
        <f t="shared" si="40"/>
        <v>0.10200000000000001</v>
      </c>
      <c r="AH100" s="65">
        <f t="shared" si="49"/>
        <v>6.8000000000000005E-2</v>
      </c>
      <c r="AI100" s="66">
        <f t="shared" si="50"/>
        <v>1.27</v>
      </c>
      <c r="AJ100" s="66"/>
      <c r="AK100" s="66"/>
      <c r="AL100" s="65">
        <f t="shared" si="20"/>
        <v>3.4999999999999996E-3</v>
      </c>
      <c r="AM100" s="65">
        <f>IF(Simulation!$D$42="Oui",Barèmes!$AO100,0)</f>
        <v>2.0999999999999999E-3</v>
      </c>
      <c r="AN100" s="65">
        <f>IF(Simulation!$D$42="Oui",Barèmes!$AP100,0)</f>
        <v>1.3999999999999998E-3</v>
      </c>
      <c r="AO100" s="678">
        <f t="shared" si="51"/>
        <v>2.0999999999999999E-3</v>
      </c>
      <c r="AP100" s="678">
        <f t="shared" si="52"/>
        <v>1.3999999999999998E-3</v>
      </c>
      <c r="AQ100" s="65">
        <f t="shared" si="15"/>
        <v>2.1499999999999998E-2</v>
      </c>
      <c r="AR100" s="65">
        <f>IF(Simulation!$D$42="Oui",Barèmes!$AT100,0)</f>
        <v>1.29E-2</v>
      </c>
      <c r="AS100" s="65">
        <f>IF(Simulation!$D$42="Oui",Barèmes!$AU100,0)</f>
        <v>8.6E-3</v>
      </c>
      <c r="AT100" s="678">
        <f t="shared" si="53"/>
        <v>1.29E-2</v>
      </c>
      <c r="AU100" s="678">
        <f t="shared" si="54"/>
        <v>8.6E-3</v>
      </c>
      <c r="AV100" s="65">
        <f t="shared" si="21"/>
        <v>2.7000000000000003E-2</v>
      </c>
      <c r="AW100" s="65">
        <f>IF(Simulation!$D$42="Oui",Barèmes!$AY100,0)</f>
        <v>1.6200000000000003E-2</v>
      </c>
      <c r="AX100" s="65">
        <f>IF(Simulation!$D$42="Oui",Barèmes!$AZ100,0)</f>
        <v>1.0800000000000001E-2</v>
      </c>
      <c r="AY100" s="678">
        <f t="shared" si="55"/>
        <v>1.6200000000000003E-2</v>
      </c>
      <c r="AZ100" s="678">
        <f t="shared" si="56"/>
        <v>1.0800000000000001E-2</v>
      </c>
      <c r="BA100" s="69">
        <f>IF($F$1=1.8%,LOOKUP($A100,'AGIRC-ARRCO'!$B$6:$B$57,'AGIRC-ARRCO'!$C$6:$C$57),IF($F$1=1.5%,LOOKUP($A100,'AGIRC-ARRCO'!$B$6:$B$57,'AGIRC-ARRCO'!$D$6:$D$57),IF($F$1=1.3%,LOOKUP($A100,'AGIRC-ARRCO'!$B$6:$B$57,'AGIRC-ARRCO'!$E$6:$E$57),LOOKUP($A100,'AGIRC-ARRCO'!$B$6:$B$57,'AGIRC-ARRCO'!$F$6:$F$57))))</f>
        <v>34.732300000000002</v>
      </c>
      <c r="BB100" s="69"/>
      <c r="BC100" s="69"/>
      <c r="BD100" s="69">
        <f>IF($F$1=1.8%,LOOKUP($A100,'AGIRC-ARRCO'!$B$6:$B$57,'AGIRC-ARRCO'!$G$6:$G$57),IF($F$1=1.5%,LOOKUP($A100,'AGIRC-ARRCO'!$B$6:$B$57,'AGIRC-ARRCO'!$H$6:$H$57),IF($F$1=1.3%,LOOKUP($A100,'AGIRC-ARRCO'!$B$6:$B$57,'AGIRC-ARRCO'!$I$6:$I$57),LOOKUP($A100,'AGIRC-ARRCO'!$B$6:$B$57,'AGIRC-ARRCO'!$J$6:$J$57))))</f>
        <v>2.2593000000000001</v>
      </c>
      <c r="BE100" s="69"/>
      <c r="BF100" s="69"/>
      <c r="BG100" s="71">
        <f t="shared" si="30"/>
        <v>2.2240500000000001</v>
      </c>
      <c r="BH100" s="71"/>
      <c r="BI100" s="71"/>
      <c r="BJ100" s="18">
        <f t="shared" si="31"/>
        <v>3721.074563473338</v>
      </c>
      <c r="BL100" s="15">
        <v>2052</v>
      </c>
      <c r="BM100" s="22">
        <f>BM99*IF(Simulation!$D$35="SMPT",1+$E100,IF(Simulation!$D$35="PRIX",1+$B100))</f>
        <v>19410.26461652324</v>
      </c>
      <c r="BN100" s="23">
        <f>BN99*IF(Simulation!$D$35="SMPT",1+$E100,IF(Simulation!$D$35="PRIX",1+$B100))</f>
        <v>25375.586122968743</v>
      </c>
      <c r="BO100" s="23">
        <f>BO99*IF(Simulation!$D$35="SMPT",1+$E100,IF(Simulation!$D$35="PRIX",1+$B100))</f>
        <v>39382.011291553878</v>
      </c>
      <c r="BP100" s="5"/>
      <c r="BQ100" s="146">
        <v>0</v>
      </c>
      <c r="BR100" s="146">
        <v>4.2999999999999997E-2</v>
      </c>
      <c r="BS100" s="146">
        <v>7.3999999999999996E-2</v>
      </c>
      <c r="BT100" s="146">
        <v>9.0999999999999998E-2</v>
      </c>
      <c r="BV100" s="15">
        <v>2052</v>
      </c>
      <c r="BW100" s="22">
        <f>BW99*IF(Simulation!$D$35="SMPT",1+$E100,IF(Simulation!$D$35="PRIX",1+$B100))</f>
        <v>29775.563708726917</v>
      </c>
      <c r="BX100" s="23">
        <f>BX99*IF(Simulation!$D$35="SMPT",1+$E100,IF(Simulation!$D$35="PRIX",1+$B100))</f>
        <v>38926.019801614515</v>
      </c>
      <c r="BY100" s="23">
        <f>BY99*IF(Simulation!$D$35="SMPT",1+$E100,IF(Simulation!$D$35="PRIX",1+$B100))</f>
        <v>60408.663652265161</v>
      </c>
      <c r="BZ100" s="5"/>
      <c r="CA100" s="146">
        <v>0</v>
      </c>
      <c r="CB100" s="146">
        <f t="shared" si="41"/>
        <v>4.2999999999999997E-2</v>
      </c>
      <c r="CC100" s="146">
        <f t="shared" si="42"/>
        <v>7.3999999999999996E-2</v>
      </c>
      <c r="CD100" s="146">
        <f t="shared" si="43"/>
        <v>9.0999999999999998E-2</v>
      </c>
      <c r="CE100" s="146">
        <f t="shared" si="43"/>
        <v>3.2000000000000001E-2</v>
      </c>
      <c r="CG100" s="15">
        <v>2052</v>
      </c>
      <c r="CH100" s="317">
        <f t="shared" si="57"/>
        <v>9.1999999999999998E-2</v>
      </c>
      <c r="CI100" s="311">
        <f t="shared" si="25"/>
        <v>6.8000000000000005E-2</v>
      </c>
      <c r="CJ100" s="311">
        <f t="shared" si="26"/>
        <v>5.0000000000000001E-3</v>
      </c>
      <c r="CK100" s="311">
        <f t="shared" si="26"/>
        <v>0.98250000000000004</v>
      </c>
      <c r="CL100" s="313">
        <f t="shared" si="27"/>
        <v>0</v>
      </c>
      <c r="CM100" s="313">
        <v>0</v>
      </c>
      <c r="CN100" s="313">
        <v>0</v>
      </c>
      <c r="CO100" s="318">
        <f t="shared" si="28"/>
        <v>2.4000000000000001E-4</v>
      </c>
    </row>
    <row r="101" spans="1:93" x14ac:dyDescent="0.25">
      <c r="A101" s="15">
        <v>2053</v>
      </c>
      <c r="B101" s="54">
        <f>IF($F$1=1.8%,LOOKUP($A101,Prix!B$6:B$127,Prix!$G$6:$G$127),IF($F$1=1.5%,LOOKUP($A101,Prix!B$6:B$127,Prix!$H$6:$H$127),IF($F$1=1.3%,LOOKUP($A101,Prix!B$6:B$127,Prix!$I$6:$I$127),LOOKUP($A101,Prix!B$6:B$127,Prix!$J$6:$J$127))))</f>
        <v>1.7500000000000002E-2</v>
      </c>
      <c r="C101" s="7">
        <f t="shared" si="33"/>
        <v>1.7123999476405047</v>
      </c>
      <c r="D101" s="5">
        <f>IF($F$1=1.8%,LOOKUP($A101,SMPT!$B$6:$B$127,SMPT!$C$6:$C$127),IF($F$1=1.5%,LOOKUP($A101,SMPT!$B$6:$B$127,SMPT!$D$6:$D$127),IF($F$1=1.3%,LOOKUP($A101,SMPT!$B$6:$B$127,SMPT!$E$6:$E$127),LOOKUP($A101,SMPT!$B$6:$B$127,SMPT!$F$6:$F$127))))</f>
        <v>98743.696242453807</v>
      </c>
      <c r="E101" s="17">
        <f t="shared" si="34"/>
        <v>3.0727500000000019E-2</v>
      </c>
      <c r="F101" s="60">
        <f>IF($F$1=1.8%,LOOKUP($A101,SMIC!$B$6:$B$125,SMIC!$C$6:$C$125),IF($F$1=1.5%,LOOKUP($A101,SMIC!$B$6:$B$125,SMIC!$D$6:$D$125),IF($F$1=1.3%,LOOKUP($A101,SMIC!$B$6:$B$125,SMIC!$E$6:$E$125),LOOKUP($A101,SMIC!$B$6:$B$125,SMIC!$F$6:$F$125))))</f>
        <v>43898.012246310245</v>
      </c>
      <c r="G101" s="153">
        <f t="shared" si="29"/>
        <v>2.6884363054264657</v>
      </c>
      <c r="H101" s="357">
        <f t="shared" si="23"/>
        <v>3.0745670868182362E-2</v>
      </c>
      <c r="I101" s="15">
        <v>2053</v>
      </c>
      <c r="J101" s="13">
        <f t="shared" si="35"/>
        <v>50160.037024145691</v>
      </c>
      <c r="K101" s="65">
        <f t="shared" si="44"/>
        <v>0.17749999999999999</v>
      </c>
      <c r="L101" s="65">
        <f t="shared" si="36"/>
        <v>0.10450000000000001</v>
      </c>
      <c r="M101" s="65">
        <f t="shared" si="37"/>
        <v>7.2999999999999982E-2</v>
      </c>
      <c r="N101" s="65">
        <f t="shared" si="16"/>
        <v>2.3000000000000003E-2</v>
      </c>
      <c r="O101" s="65">
        <f>IF(Simulation!$D$43="Oui",$Q101,0)</f>
        <v>1.9000000000000003E-2</v>
      </c>
      <c r="P101" s="65">
        <f>IF(Simulation!$D$43="Oui",$R101,0)</f>
        <v>4.0000000000000001E-3</v>
      </c>
      <c r="Q101" s="678">
        <f t="shared" si="38"/>
        <v>1.9000000000000003E-2</v>
      </c>
      <c r="R101" s="678">
        <f t="shared" si="38"/>
        <v>4.0000000000000001E-3</v>
      </c>
      <c r="S101" s="56">
        <f>IF($F$1=1.8%,LOOKUP($A101,Sal_valid!$B$6:$B$127,Sal_valid!$C$6:$C$127),IF($F$1=1.5%,LOOKUP($A101,Sal_valid!$B$6:$B$127,Sal_valid!$D$6:$D$127),IF($F$1=1.3%,LOOKUP($A101,Sal_valid!$B$6:$B$127,Sal_valid!$E$6:$E$127),LOOKUP($A101,Sal_valid!$B$6:$B$127,Sal_valid!$F$6:$F$127))))</f>
        <v>3617.8397248102456</v>
      </c>
      <c r="T101" s="76">
        <f>IF(Simulation!$D$33="Prix",Revalo_RB!$D113,Barèmes!$E101)</f>
        <v>1.7500000000000002E-2</v>
      </c>
      <c r="U101" s="76">
        <f>IF(Simulation!$D$34="Prix",Revalo_RB!$H113,Barèmes!$E101)</f>
        <v>1.7500000000000002E-2</v>
      </c>
      <c r="V101" s="56">
        <f>IF($F$1=1.8%,LOOKUP($A101,PSS!$B$6:$B$127,PSS!$C$6:$C$127),IF($F$1=1.5%,LOOKUP($A101,PSS!$B$6:$B$127,PSS!$D$6:$D$127),IF($F$1=1.3%,LOOKUP($A101,PSS!$B$6:$B$127,PSS!$E$6:$E$127),LOOKUP($A101,PSS!$B$6:$B$127,PSS!$F$6:$F$127))))</f>
        <v>105000</v>
      </c>
      <c r="W101" s="56">
        <f>IF($F$1=1.8%,LOOKUP($A101,Smic_AVPF!$B$6:$B$104,Smic_AVPF!$C$6:$C$104),IF($F$1=1.5%,LOOKUP($A101,Smic_AVPF!$B$6:$B$104,Smic_AVPF!$D$6:$D$104),IF($F$1=1.3%,LOOKUP($A101,Smic_AVPF!$B$6:$B$104,Smic_AVPF!$E$6:$E$104),LOOKUP($A101,Smic_AVPF!$B$6:$B$104,Smic_AVPF!$F$6:$F$104))))</f>
        <v>48334.90902332298</v>
      </c>
      <c r="X101" s="56">
        <f>IF(Simulation!$D$32="SMPT",(1+$E101)*X100,IF(Simulation!$D$32="PRIX",Minima!$O50))</f>
        <v>13258.534652597798</v>
      </c>
      <c r="Y101" s="56">
        <f>IF(Simulation!$D$32="SMPT",(1+$E101)*Y100,IF(Simulation!$D$32="PRIX",Minima!$P50))</f>
        <v>14487.949900631616</v>
      </c>
      <c r="Z101" s="56">
        <f t="shared" si="45"/>
        <v>24717.090084812498</v>
      </c>
      <c r="AA101" s="58"/>
      <c r="AB101" s="15">
        <v>2053</v>
      </c>
      <c r="AC101" s="64">
        <f t="shared" si="46"/>
        <v>6.2E-2</v>
      </c>
      <c r="AD101" s="65">
        <f t="shared" si="39"/>
        <v>3.7200000000000004E-2</v>
      </c>
      <c r="AE101" s="65">
        <f t="shared" si="47"/>
        <v>2.4799999999999996E-2</v>
      </c>
      <c r="AF101" s="65">
        <f t="shared" si="48"/>
        <v>0.17</v>
      </c>
      <c r="AG101" s="65">
        <f t="shared" si="40"/>
        <v>0.10200000000000001</v>
      </c>
      <c r="AH101" s="65">
        <f t="shared" si="49"/>
        <v>6.8000000000000005E-2</v>
      </c>
      <c r="AI101" s="66">
        <f t="shared" si="50"/>
        <v>1.27</v>
      </c>
      <c r="AJ101" s="66"/>
      <c r="AK101" s="66"/>
      <c r="AL101" s="65">
        <f t="shared" si="20"/>
        <v>3.4999999999999996E-3</v>
      </c>
      <c r="AM101" s="65">
        <f>IF(Simulation!$D$42="Oui",Barèmes!$AO101,0)</f>
        <v>2.0999999999999999E-3</v>
      </c>
      <c r="AN101" s="65">
        <f>IF(Simulation!$D$42="Oui",Barèmes!$AP101,0)</f>
        <v>1.3999999999999998E-3</v>
      </c>
      <c r="AO101" s="678">
        <f t="shared" si="51"/>
        <v>2.0999999999999999E-3</v>
      </c>
      <c r="AP101" s="678">
        <f t="shared" si="52"/>
        <v>1.3999999999999998E-3</v>
      </c>
      <c r="AQ101" s="65">
        <f t="shared" si="15"/>
        <v>2.1499999999999998E-2</v>
      </c>
      <c r="AR101" s="65">
        <f>IF(Simulation!$D$42="Oui",Barèmes!$AT101,0)</f>
        <v>1.29E-2</v>
      </c>
      <c r="AS101" s="65">
        <f>IF(Simulation!$D$42="Oui",Barèmes!$AU101,0)</f>
        <v>8.6E-3</v>
      </c>
      <c r="AT101" s="678">
        <f t="shared" si="53"/>
        <v>1.29E-2</v>
      </c>
      <c r="AU101" s="678">
        <f t="shared" si="54"/>
        <v>8.6E-3</v>
      </c>
      <c r="AV101" s="65">
        <f t="shared" si="21"/>
        <v>2.7000000000000003E-2</v>
      </c>
      <c r="AW101" s="65">
        <f>IF(Simulation!$D$42="Oui",Barèmes!$AY101,0)</f>
        <v>1.6200000000000003E-2</v>
      </c>
      <c r="AX101" s="65">
        <f>IF(Simulation!$D$42="Oui",Barèmes!$AZ101,0)</f>
        <v>1.0800000000000001E-2</v>
      </c>
      <c r="AY101" s="678">
        <f t="shared" si="55"/>
        <v>1.6200000000000003E-2</v>
      </c>
      <c r="AZ101" s="678">
        <f t="shared" si="56"/>
        <v>1.0800000000000001E-2</v>
      </c>
      <c r="BA101" s="69">
        <f>IF($F$1=1.8%,LOOKUP($A101,'AGIRC-ARRCO'!$B$6:$B$57,'AGIRC-ARRCO'!$C$6:$C$57),IF($F$1=1.5%,LOOKUP($A101,'AGIRC-ARRCO'!$B$6:$B$57,'AGIRC-ARRCO'!$D$6:$D$57),IF($F$1=1.3%,LOOKUP($A101,'AGIRC-ARRCO'!$B$6:$B$57,'AGIRC-ARRCO'!$E$6:$E$57),LOOKUP($A101,'AGIRC-ARRCO'!$B$6:$B$57,'AGIRC-ARRCO'!$F$6:$F$57))))</f>
        <v>35.395699999999998</v>
      </c>
      <c r="BB101" s="69"/>
      <c r="BC101" s="69"/>
      <c r="BD101" s="69">
        <f>IF($F$1=1.8%,LOOKUP($A101,'AGIRC-ARRCO'!$B$6:$B$57,'AGIRC-ARRCO'!$G$6:$G$57),IF($F$1=1.5%,LOOKUP($A101,'AGIRC-ARRCO'!$B$6:$B$57,'AGIRC-ARRCO'!$H$6:$H$57),IF($F$1=1.3%,LOOKUP($A101,'AGIRC-ARRCO'!$B$6:$B$57,'AGIRC-ARRCO'!$I$6:$I$57),LOOKUP($A101,'AGIRC-ARRCO'!$B$6:$B$57,'AGIRC-ARRCO'!$J$6:$J$57))))</f>
        <v>2.3025000000000002</v>
      </c>
      <c r="BE101" s="69"/>
      <c r="BF101" s="69"/>
      <c r="BG101" s="71">
        <f t="shared" si="30"/>
        <v>2.2665000000000002</v>
      </c>
      <c r="BH101" s="71"/>
      <c r="BI101" s="71"/>
      <c r="BJ101" s="18">
        <f t="shared" ref="BJ101:BJ118" si="58">BJ100*BD101/BD100</f>
        <v>3792.225106182163</v>
      </c>
      <c r="BL101" s="15">
        <v>2053</v>
      </c>
      <c r="BM101" s="22">
        <f>BM100*IF(Simulation!$D$35="SMPT",1+$E101,IF(Simulation!$D$35="PRIX",1+$B101))</f>
        <v>19749.944247312396</v>
      </c>
      <c r="BN101" s="23">
        <f>BN100*IF(Simulation!$D$35="SMPT",1+$E101,IF(Simulation!$D$35="PRIX",1+$B101))</f>
        <v>25819.6588801207</v>
      </c>
      <c r="BO101" s="23">
        <f>BO100*IF(Simulation!$D$35="SMPT",1+$E101,IF(Simulation!$D$35="PRIX",1+$B101))</f>
        <v>40071.196489156071</v>
      </c>
      <c r="BP101" s="5"/>
      <c r="BQ101" s="146">
        <v>0</v>
      </c>
      <c r="BR101" s="146">
        <v>4.2999999999999997E-2</v>
      </c>
      <c r="BS101" s="146">
        <v>7.3999999999999996E-2</v>
      </c>
      <c r="BT101" s="146">
        <v>9.0999999999999998E-2</v>
      </c>
      <c r="BV101" s="15">
        <v>2053</v>
      </c>
      <c r="BW101" s="22">
        <f>BW100*IF(Simulation!$D$35="SMPT",1+$E101,IF(Simulation!$D$35="PRIX",1+$B101))</f>
        <v>30296.636073629641</v>
      </c>
      <c r="BX101" s="23">
        <f>BX100*IF(Simulation!$D$35="SMPT",1+$E101,IF(Simulation!$D$35="PRIX",1+$B101))</f>
        <v>39607.225148142774</v>
      </c>
      <c r="BY101" s="23">
        <f>BY100*IF(Simulation!$D$35="SMPT",1+$E101,IF(Simulation!$D$35="PRIX",1+$B101))</f>
        <v>61465.815266179809</v>
      </c>
      <c r="BZ101" s="5"/>
      <c r="CA101" s="146">
        <v>0</v>
      </c>
      <c r="CB101" s="146">
        <f t="shared" si="41"/>
        <v>4.2999999999999997E-2</v>
      </c>
      <c r="CC101" s="146">
        <f t="shared" si="42"/>
        <v>7.3999999999999996E-2</v>
      </c>
      <c r="CD101" s="146">
        <f t="shared" si="43"/>
        <v>9.0999999999999998E-2</v>
      </c>
      <c r="CE101" s="146">
        <f t="shared" si="43"/>
        <v>3.2000000000000001E-2</v>
      </c>
      <c r="CG101" s="15">
        <v>2053</v>
      </c>
      <c r="CH101" s="317">
        <f t="shared" si="57"/>
        <v>9.1999999999999998E-2</v>
      </c>
      <c r="CI101" s="311">
        <f t="shared" si="25"/>
        <v>6.8000000000000005E-2</v>
      </c>
      <c r="CJ101" s="311">
        <f t="shared" si="26"/>
        <v>5.0000000000000001E-3</v>
      </c>
      <c r="CK101" s="311">
        <f t="shared" si="26"/>
        <v>0.98250000000000004</v>
      </c>
      <c r="CL101" s="313">
        <f t="shared" si="27"/>
        <v>0</v>
      </c>
      <c r="CM101" s="313">
        <v>0</v>
      </c>
      <c r="CN101" s="313">
        <v>0</v>
      </c>
      <c r="CO101" s="318">
        <f t="shared" si="28"/>
        <v>2.4000000000000001E-4</v>
      </c>
    </row>
    <row r="102" spans="1:93" x14ac:dyDescent="0.25">
      <c r="A102" s="15">
        <v>2054</v>
      </c>
      <c r="B102" s="54">
        <f>IF($F$1=1.8%,LOOKUP($A102,Prix!B$6:B$127,Prix!$G$6:$G$127),IF($F$1=1.5%,LOOKUP($A102,Prix!B$6:B$127,Prix!$H$6:$H$127),IF($F$1=1.3%,LOOKUP($A102,Prix!B$6:B$127,Prix!$I$6:$I$127),LOOKUP($A102,Prix!B$6:B$127,Prix!$J$6:$J$127))))</f>
        <v>1.7500000000000002E-2</v>
      </c>
      <c r="C102" s="7">
        <f t="shared" ref="C102:C133" si="59">C101*(1+B102)</f>
        <v>1.7423669467242138</v>
      </c>
      <c r="D102" s="5">
        <f>IF($F$1=1.8%,LOOKUP($A102,SMPT!$B$6:$B$127,SMPT!$C$6:$C$127),IF($F$1=1.5%,LOOKUP($A102,SMPT!$B$6:$B$127,SMPT!$D$6:$D$127),IF($F$1=1.3%,LOOKUP($A102,SMPT!$B$6:$B$127,SMPT!$E$6:$E$127),LOOKUP($A102,SMPT!$B$6:$B$127,SMPT!$F$6:$F$127))))</f>
        <v>101777.84316874381</v>
      </c>
      <c r="E102" s="17">
        <f t="shared" si="34"/>
        <v>3.0727500000000019E-2</v>
      </c>
      <c r="F102" s="60">
        <f>IF($F$1=1.8%,LOOKUP($A102,SMIC!$B$6:$B$125,SMIC!$C$6:$C$125),IF($F$1=1.5%,LOOKUP($A102,SMIC!$B$6:$B$125,SMIC!$D$6:$D$125),IF($F$1=1.3%,LOOKUP($A102,SMIC!$B$6:$B$125,SMIC!$E$6:$E$125),LOOKUP($A102,SMIC!$B$6:$B$125,SMIC!$F$6:$F$125))))</f>
        <v>45246.888417608745</v>
      </c>
      <c r="G102" s="153">
        <f t="shared" si="29"/>
        <v>2.7710452320014576</v>
      </c>
      <c r="H102" s="357">
        <f t="shared" si="23"/>
        <v>3.0742857142857183E-2</v>
      </c>
      <c r="I102" s="15">
        <v>2054</v>
      </c>
      <c r="J102" s="13">
        <f t="shared" ref="J102:J133" si="60">J101*F102/F101</f>
        <v>51701.329561805127</v>
      </c>
      <c r="K102" s="65">
        <f t="shared" si="44"/>
        <v>0.17749999999999999</v>
      </c>
      <c r="L102" s="65">
        <f t="shared" si="36"/>
        <v>0.10450000000000001</v>
      </c>
      <c r="M102" s="65">
        <f t="shared" si="37"/>
        <v>7.2999999999999982E-2</v>
      </c>
      <c r="N102" s="65">
        <f t="shared" si="16"/>
        <v>2.3000000000000003E-2</v>
      </c>
      <c r="O102" s="65">
        <f>IF(Simulation!$D$43="Oui",$Q102,0)</f>
        <v>1.9000000000000003E-2</v>
      </c>
      <c r="P102" s="65">
        <f>IF(Simulation!$D$43="Oui",$R102,0)</f>
        <v>4.0000000000000001E-3</v>
      </c>
      <c r="Q102" s="678">
        <f t="shared" si="38"/>
        <v>1.9000000000000003E-2</v>
      </c>
      <c r="R102" s="678">
        <f t="shared" si="38"/>
        <v>4.0000000000000001E-3</v>
      </c>
      <c r="S102" s="56">
        <f>IF($F$1=1.8%,LOOKUP($A102,Sal_valid!$B$6:$B$127,Sal_valid!$C$6:$C$127),IF($F$1=1.5%,LOOKUP($A102,Sal_valid!$B$6:$B$127,Sal_valid!$D$6:$D$127),IF($F$1=1.3%,LOOKUP($A102,Sal_valid!$B$6:$B$127,Sal_valid!$E$6:$E$127),LOOKUP($A102,Sal_valid!$B$6:$B$127,Sal_valid!$F$6:$F$127))))</f>
        <v>3729.0068949543524</v>
      </c>
      <c r="T102" s="76">
        <f>IF(Simulation!$D$33="Prix",Revalo_RB!$D114,Barèmes!$E102)</f>
        <v>1.7500000000000002E-2</v>
      </c>
      <c r="U102" s="76">
        <f>IF(Simulation!$D$34="Prix",Revalo_RB!$H114,Barèmes!$E102)</f>
        <v>1.7500000000000002E-2</v>
      </c>
      <c r="V102" s="56">
        <f>IF($F$1=1.8%,LOOKUP($A102,PSS!$B$6:$B$127,PSS!$C$6:$C$127),IF($F$1=1.5%,LOOKUP($A102,PSS!$B$6:$B$127,PSS!$D$6:$D$127),IF($F$1=1.3%,LOOKUP($A102,PSS!$B$6:$B$127,PSS!$E$6:$E$127),LOOKUP($A102,PSS!$B$6:$B$127,PSS!$F$6:$F$127))))</f>
        <v>108228</v>
      </c>
      <c r="W102" s="56">
        <f>IF($F$1=1.8%,LOOKUP($A102,Smic_AVPF!$B$6:$B$104,Smic_AVPF!$C$6:$C$104),IF($F$1=1.5%,LOOKUP($A102,Smic_AVPF!$B$6:$B$104,Smic_AVPF!$D$6:$D$104),IF($F$1=1.3%,LOOKUP($A102,Smic_AVPF!$B$6:$B$104,Smic_AVPF!$E$6:$E$104),LOOKUP($A102,Smic_AVPF!$B$6:$B$104,Smic_AVPF!$F$6:$F$104))))</f>
        <v>49820.119940337143</v>
      </c>
      <c r="X102" s="56">
        <f>IF(Simulation!$D$32="SMPT",(1+$E102)*X101,IF(Simulation!$D$32="PRIX",Minima!$O51))</f>
        <v>13490.559009018261</v>
      </c>
      <c r="Y102" s="56">
        <f>IF(Simulation!$D$32="SMPT",(1+$E102)*Y101,IF(Simulation!$D$32="PRIX",Minima!$P51))</f>
        <v>14741.489023892671</v>
      </c>
      <c r="Z102" s="56">
        <f t="shared" si="45"/>
        <v>25149.639161296716</v>
      </c>
      <c r="AA102" s="58"/>
      <c r="AB102" s="15">
        <v>2054</v>
      </c>
      <c r="AC102" s="64">
        <f t="shared" si="46"/>
        <v>6.2E-2</v>
      </c>
      <c r="AD102" s="65">
        <f t="shared" si="39"/>
        <v>3.7200000000000004E-2</v>
      </c>
      <c r="AE102" s="65">
        <f t="shared" si="47"/>
        <v>2.4799999999999996E-2</v>
      </c>
      <c r="AF102" s="65">
        <f t="shared" si="48"/>
        <v>0.17</v>
      </c>
      <c r="AG102" s="65">
        <f t="shared" si="40"/>
        <v>0.10200000000000001</v>
      </c>
      <c r="AH102" s="65">
        <f t="shared" si="49"/>
        <v>6.8000000000000005E-2</v>
      </c>
      <c r="AI102" s="66">
        <f t="shared" si="50"/>
        <v>1.27</v>
      </c>
      <c r="AJ102" s="66"/>
      <c r="AK102" s="66"/>
      <c r="AL102" s="65">
        <f t="shared" si="20"/>
        <v>3.4999999999999996E-3</v>
      </c>
      <c r="AM102" s="65">
        <f>IF(Simulation!$D$42="Oui",Barèmes!$AO102,0)</f>
        <v>2.0999999999999999E-3</v>
      </c>
      <c r="AN102" s="65">
        <f>IF(Simulation!$D$42="Oui",Barèmes!$AP102,0)</f>
        <v>1.3999999999999998E-3</v>
      </c>
      <c r="AO102" s="678">
        <f t="shared" si="51"/>
        <v>2.0999999999999999E-3</v>
      </c>
      <c r="AP102" s="678">
        <f t="shared" si="52"/>
        <v>1.3999999999999998E-3</v>
      </c>
      <c r="AQ102" s="65">
        <f t="shared" si="15"/>
        <v>2.1499999999999998E-2</v>
      </c>
      <c r="AR102" s="65">
        <f>IF(Simulation!$D$42="Oui",Barèmes!$AT102,0)</f>
        <v>1.29E-2</v>
      </c>
      <c r="AS102" s="65">
        <f>IF(Simulation!$D$42="Oui",Barèmes!$AU102,0)</f>
        <v>8.6E-3</v>
      </c>
      <c r="AT102" s="678">
        <f t="shared" si="53"/>
        <v>1.29E-2</v>
      </c>
      <c r="AU102" s="678">
        <f t="shared" si="54"/>
        <v>8.6E-3</v>
      </c>
      <c r="AV102" s="65">
        <f t="shared" si="21"/>
        <v>2.7000000000000003E-2</v>
      </c>
      <c r="AW102" s="65">
        <f>IF(Simulation!$D$42="Oui",Barèmes!$AY102,0)</f>
        <v>1.6200000000000003E-2</v>
      </c>
      <c r="AX102" s="65">
        <f>IF(Simulation!$D$42="Oui",Barèmes!$AZ102,0)</f>
        <v>1.0800000000000001E-2</v>
      </c>
      <c r="AY102" s="678">
        <f t="shared" si="55"/>
        <v>1.6200000000000003E-2</v>
      </c>
      <c r="AZ102" s="678">
        <f t="shared" si="56"/>
        <v>1.0800000000000001E-2</v>
      </c>
      <c r="BA102" s="69">
        <f>IF($F$1=1.8%,LOOKUP($A102,'AGIRC-ARRCO'!$B$6:$B$57,'AGIRC-ARRCO'!$C$6:$C$57),IF($F$1=1.5%,LOOKUP($A102,'AGIRC-ARRCO'!$B$6:$B$57,'AGIRC-ARRCO'!$D$6:$D$57),IF($F$1=1.3%,LOOKUP($A102,'AGIRC-ARRCO'!$B$6:$B$57,'AGIRC-ARRCO'!$E$6:$E$57),LOOKUP($A102,'AGIRC-ARRCO'!$B$6:$B$57,'AGIRC-ARRCO'!$F$6:$F$57))))</f>
        <v>36.071800000000003</v>
      </c>
      <c r="BB102" s="69"/>
      <c r="BC102" s="69"/>
      <c r="BD102" s="69">
        <f>IF($F$1=1.8%,LOOKUP($A102,'AGIRC-ARRCO'!$B$6:$B$57,'AGIRC-ARRCO'!$G$6:$G$57),IF($F$1=1.5%,LOOKUP($A102,'AGIRC-ARRCO'!$B$6:$B$57,'AGIRC-ARRCO'!$H$6:$H$57),IF($F$1=1.3%,LOOKUP($A102,'AGIRC-ARRCO'!$B$6:$B$57,'AGIRC-ARRCO'!$I$6:$I$57),LOOKUP($A102,'AGIRC-ARRCO'!$B$6:$B$57,'AGIRC-ARRCO'!$J$6:$J$57))))</f>
        <v>2.3464999999999998</v>
      </c>
      <c r="BE102" s="69"/>
      <c r="BF102" s="69"/>
      <c r="BG102" s="71">
        <f t="shared" si="30"/>
        <v>2.3098333333333336</v>
      </c>
      <c r="BH102" s="71"/>
      <c r="BI102" s="71"/>
      <c r="BJ102" s="18">
        <f t="shared" si="58"/>
        <v>3864.6932515337435</v>
      </c>
      <c r="BL102" s="15">
        <v>2054</v>
      </c>
      <c r="BM102" s="22">
        <f>BM101*IF(Simulation!$D$35="SMPT",1+$E102,IF(Simulation!$D$35="PRIX",1+$B102))</f>
        <v>20095.568271640364</v>
      </c>
      <c r="BN102" s="23">
        <f>BN101*IF(Simulation!$D$35="SMPT",1+$E102,IF(Simulation!$D$35="PRIX",1+$B102))</f>
        <v>26271.502910522813</v>
      </c>
      <c r="BO102" s="23">
        <f>BO101*IF(Simulation!$D$35="SMPT",1+$E102,IF(Simulation!$D$35="PRIX",1+$B102))</f>
        <v>40772.442427716305</v>
      </c>
      <c r="BP102" s="5"/>
      <c r="BQ102" s="146">
        <v>0</v>
      </c>
      <c r="BR102" s="146">
        <v>4.2999999999999997E-2</v>
      </c>
      <c r="BS102" s="146">
        <v>7.3999999999999996E-2</v>
      </c>
      <c r="BT102" s="146">
        <v>9.0999999999999998E-2</v>
      </c>
      <c r="BV102" s="15">
        <v>2054</v>
      </c>
      <c r="BW102" s="22">
        <f>BW101*IF(Simulation!$D$35="SMPT",1+$E102,IF(Simulation!$D$35="PRIX",1+$B102))</f>
        <v>30826.827204918161</v>
      </c>
      <c r="BX102" s="23">
        <f>BX101*IF(Simulation!$D$35="SMPT",1+$E102,IF(Simulation!$D$35="PRIX",1+$B102))</f>
        <v>40300.351588235273</v>
      </c>
      <c r="BY102" s="23">
        <f>BY101*IF(Simulation!$D$35="SMPT",1+$E102,IF(Simulation!$D$35="PRIX",1+$B102))</f>
        <v>62541.467033337962</v>
      </c>
      <c r="BZ102" s="5"/>
      <c r="CA102" s="146">
        <v>0</v>
      </c>
      <c r="CB102" s="146">
        <f t="shared" si="41"/>
        <v>4.2999999999999997E-2</v>
      </c>
      <c r="CC102" s="146">
        <f t="shared" si="42"/>
        <v>7.3999999999999996E-2</v>
      </c>
      <c r="CD102" s="146">
        <f t="shared" si="43"/>
        <v>9.0999999999999998E-2</v>
      </c>
      <c r="CE102" s="146">
        <f t="shared" si="43"/>
        <v>3.2000000000000001E-2</v>
      </c>
      <c r="CG102" s="15">
        <v>2054</v>
      </c>
      <c r="CH102" s="317">
        <f t="shared" si="57"/>
        <v>9.1999999999999998E-2</v>
      </c>
      <c r="CI102" s="311">
        <f t="shared" si="25"/>
        <v>6.8000000000000005E-2</v>
      </c>
      <c r="CJ102" s="311">
        <f t="shared" si="26"/>
        <v>5.0000000000000001E-3</v>
      </c>
      <c r="CK102" s="311">
        <f t="shared" si="26"/>
        <v>0.98250000000000004</v>
      </c>
      <c r="CL102" s="313">
        <f t="shared" si="27"/>
        <v>0</v>
      </c>
      <c r="CM102" s="313">
        <v>0</v>
      </c>
      <c r="CN102" s="313">
        <v>0</v>
      </c>
      <c r="CO102" s="318">
        <f t="shared" si="28"/>
        <v>2.4000000000000001E-4</v>
      </c>
    </row>
    <row r="103" spans="1:93" x14ac:dyDescent="0.25">
      <c r="A103" s="15">
        <v>2055</v>
      </c>
      <c r="B103" s="54">
        <f>IF($F$1=1.8%,LOOKUP($A103,Prix!B$6:B$127,Prix!$G$6:$G$127),IF($F$1=1.5%,LOOKUP($A103,Prix!B$6:B$127,Prix!$H$6:$H$127),IF($F$1=1.3%,LOOKUP($A103,Prix!B$6:B$127,Prix!$I$6:$I$127),LOOKUP($A103,Prix!B$6:B$127,Prix!$J$6:$J$127))))</f>
        <v>1.7500000000000002E-2</v>
      </c>
      <c r="C103" s="7">
        <f t="shared" si="59"/>
        <v>1.7728583682918877</v>
      </c>
      <c r="D103" s="5">
        <f>IF($F$1=1.8%,LOOKUP($A103,SMPT!$B$6:$B$127,SMPT!$C$6:$C$127),IF($F$1=1.5%,LOOKUP($A103,SMPT!$B$6:$B$127,SMPT!$D$6:$D$127),IF($F$1=1.3%,LOOKUP($A103,SMPT!$B$6:$B$127,SMPT!$E$6:$E$127),LOOKUP($A103,SMPT!$B$6:$B$127,SMPT!$F$6:$F$127))))</f>
        <v>104905.22184471138</v>
      </c>
      <c r="E103" s="17">
        <f t="shared" si="34"/>
        <v>3.0727500000000019E-2</v>
      </c>
      <c r="F103" s="60">
        <f>IF($F$1=1.8%,LOOKUP($A103,SMIC!$B$6:$B$125,SMIC!$C$6:$C$125),IF($F$1=1.5%,LOOKUP($A103,SMIC!$B$6:$B$125,SMIC!$D$6:$D$125),IF($F$1=1.3%,LOOKUP($A103,SMIC!$B$6:$B$125,SMIC!$E$6:$E$125),LOOKUP($A103,SMIC!$B$6:$B$125,SMIC!$F$6:$F$125))))</f>
        <v>46637.212181460818</v>
      </c>
      <c r="G103" s="153">
        <f t="shared" si="29"/>
        <v>2.8561925243677821</v>
      </c>
      <c r="H103" s="357">
        <f t="shared" si="23"/>
        <v>3.0712939350260537E-2</v>
      </c>
      <c r="I103" s="15">
        <v>2055</v>
      </c>
      <c r="J103" s="13">
        <f t="shared" si="60"/>
        <v>53289.982165915491</v>
      </c>
      <c r="K103" s="65">
        <f t="shared" si="44"/>
        <v>0.17749999999999999</v>
      </c>
      <c r="L103" s="65">
        <f t="shared" si="36"/>
        <v>0.10450000000000001</v>
      </c>
      <c r="M103" s="65">
        <f t="shared" si="37"/>
        <v>7.2999999999999982E-2</v>
      </c>
      <c r="N103" s="65">
        <f t="shared" si="16"/>
        <v>2.3000000000000003E-2</v>
      </c>
      <c r="O103" s="65">
        <f>IF(Simulation!$D$43="Oui",$Q103,0)</f>
        <v>1.9000000000000003E-2</v>
      </c>
      <c r="P103" s="65">
        <f>IF(Simulation!$D$43="Oui",$R103,0)</f>
        <v>4.0000000000000001E-3</v>
      </c>
      <c r="Q103" s="678">
        <f t="shared" si="38"/>
        <v>1.9000000000000003E-2</v>
      </c>
      <c r="R103" s="678">
        <f t="shared" si="38"/>
        <v>4.0000000000000001E-3</v>
      </c>
      <c r="S103" s="56">
        <f>IF($F$1=1.8%,LOOKUP($A103,Sal_valid!$B$6:$B$127,Sal_valid!$C$6:$C$127),IF($F$1=1.5%,LOOKUP($A103,Sal_valid!$B$6:$B$127,Sal_valid!$D$6:$D$127),IF($F$1=1.3%,LOOKUP($A103,Sal_valid!$B$6:$B$127,Sal_valid!$E$6:$E$127),LOOKUP($A103,Sal_valid!$B$6:$B$127,Sal_valid!$F$6:$F$127))))</f>
        <v>3843.5899543190626</v>
      </c>
      <c r="T103" s="76">
        <f>IF(Simulation!$D$33="Prix",Revalo_RB!$D115,Barèmes!$E103)</f>
        <v>1.7500000000000002E-2</v>
      </c>
      <c r="U103" s="76">
        <f>IF(Simulation!$D$34="Prix",Revalo_RB!$H115,Barèmes!$E103)</f>
        <v>1.7500000000000002E-2</v>
      </c>
      <c r="V103" s="56">
        <f>IF($F$1=1.8%,LOOKUP($A103,PSS!$B$6:$B$127,PSS!$C$6:$C$127),IF($F$1=1.5%,LOOKUP($A103,PSS!$B$6:$B$127,PSS!$D$6:$D$127),IF($F$1=1.3%,LOOKUP($A103,PSS!$B$6:$B$127,PSS!$E$6:$E$127),LOOKUP($A103,PSS!$B$6:$B$127,PSS!$F$6:$F$127))))</f>
        <v>111552</v>
      </c>
      <c r="W103" s="56">
        <f>IF($F$1=1.8%,LOOKUP($A103,Smic_AVPF!$B$6:$B$104,Smic_AVPF!$C$6:$C$104),IF($F$1=1.5%,LOOKUP($A103,Smic_AVPF!$B$6:$B$104,Smic_AVPF!$D$6:$D$104),IF($F$1=1.3%,LOOKUP($A103,Smic_AVPF!$B$6:$B$104,Smic_AVPF!$E$6:$E$104),LOOKUP($A103,Smic_AVPF!$B$6:$B$104,Smic_AVPF!$F$6:$F$104))))</f>
        <v>51350.967675803848</v>
      </c>
      <c r="X103" s="56">
        <f>IF(Simulation!$D$32="SMPT",(1+$E103)*X102,IF(Simulation!$D$32="PRIX",Minima!$O52))</f>
        <v>13726.643791676082</v>
      </c>
      <c r="Y103" s="56">
        <f>IF(Simulation!$D$32="SMPT",(1+$E103)*Y102,IF(Simulation!$D$32="PRIX",Minima!$P52))</f>
        <v>14999.465081810793</v>
      </c>
      <c r="Z103" s="56">
        <f t="shared" si="45"/>
        <v>25589.75784661941</v>
      </c>
      <c r="AA103" s="58"/>
      <c r="AB103" s="15">
        <v>2055</v>
      </c>
      <c r="AC103" s="64">
        <f t="shared" si="46"/>
        <v>6.2E-2</v>
      </c>
      <c r="AD103" s="65">
        <f t="shared" si="39"/>
        <v>3.7200000000000004E-2</v>
      </c>
      <c r="AE103" s="65">
        <f t="shared" si="47"/>
        <v>2.4799999999999996E-2</v>
      </c>
      <c r="AF103" s="65">
        <f t="shared" si="48"/>
        <v>0.17</v>
      </c>
      <c r="AG103" s="65">
        <f t="shared" si="40"/>
        <v>0.10200000000000001</v>
      </c>
      <c r="AH103" s="65">
        <f t="shared" si="49"/>
        <v>6.8000000000000005E-2</v>
      </c>
      <c r="AI103" s="66">
        <f t="shared" si="50"/>
        <v>1.27</v>
      </c>
      <c r="AJ103" s="66"/>
      <c r="AK103" s="66"/>
      <c r="AL103" s="65">
        <f t="shared" si="20"/>
        <v>3.4999999999999996E-3</v>
      </c>
      <c r="AM103" s="65">
        <f>IF(Simulation!$D$42="Oui",Barèmes!$AO103,0)</f>
        <v>2.0999999999999999E-3</v>
      </c>
      <c r="AN103" s="65">
        <f>IF(Simulation!$D$42="Oui",Barèmes!$AP103,0)</f>
        <v>1.3999999999999998E-3</v>
      </c>
      <c r="AO103" s="678">
        <f t="shared" si="51"/>
        <v>2.0999999999999999E-3</v>
      </c>
      <c r="AP103" s="678">
        <f t="shared" si="52"/>
        <v>1.3999999999999998E-3</v>
      </c>
      <c r="AQ103" s="65">
        <f t="shared" si="15"/>
        <v>2.1499999999999998E-2</v>
      </c>
      <c r="AR103" s="65">
        <f>IF(Simulation!$D$42="Oui",Barèmes!$AT103,0)</f>
        <v>1.29E-2</v>
      </c>
      <c r="AS103" s="65">
        <f>IF(Simulation!$D$42="Oui",Barèmes!$AU103,0)</f>
        <v>8.6E-3</v>
      </c>
      <c r="AT103" s="678">
        <f t="shared" si="53"/>
        <v>1.29E-2</v>
      </c>
      <c r="AU103" s="678">
        <f t="shared" si="54"/>
        <v>8.6E-3</v>
      </c>
      <c r="AV103" s="65">
        <f t="shared" si="21"/>
        <v>2.7000000000000003E-2</v>
      </c>
      <c r="AW103" s="65">
        <f>IF(Simulation!$D$42="Oui",Barèmes!$AY103,0)</f>
        <v>1.6200000000000003E-2</v>
      </c>
      <c r="AX103" s="65">
        <f>IF(Simulation!$D$42="Oui",Barèmes!$AZ103,0)</f>
        <v>1.0800000000000001E-2</v>
      </c>
      <c r="AY103" s="678">
        <f t="shared" si="55"/>
        <v>1.6200000000000003E-2</v>
      </c>
      <c r="AZ103" s="678">
        <f t="shared" si="56"/>
        <v>1.0800000000000001E-2</v>
      </c>
      <c r="BA103" s="69">
        <f>IF($F$1=1.8%,LOOKUP($A103,'AGIRC-ARRCO'!$B$6:$B$57,'AGIRC-ARRCO'!$C$6:$C$57),IF($F$1=1.5%,LOOKUP($A103,'AGIRC-ARRCO'!$B$6:$B$57,'AGIRC-ARRCO'!$D$6:$D$57),IF($F$1=1.3%,LOOKUP($A103,'AGIRC-ARRCO'!$B$6:$B$57,'AGIRC-ARRCO'!$E$6:$E$57),LOOKUP($A103,'AGIRC-ARRCO'!$B$6:$B$57,'AGIRC-ARRCO'!$F$6:$F$57))))</f>
        <v>36.760800000000003</v>
      </c>
      <c r="BB103" s="69"/>
      <c r="BC103" s="69"/>
      <c r="BD103" s="69">
        <f>IF($F$1=1.8%,LOOKUP($A103,'AGIRC-ARRCO'!$B$6:$B$57,'AGIRC-ARRCO'!$G$6:$G$57),IF($F$1=1.5%,LOOKUP($A103,'AGIRC-ARRCO'!$B$6:$B$57,'AGIRC-ARRCO'!$H$6:$H$57),IF($F$1=1.3%,LOOKUP($A103,'AGIRC-ARRCO'!$B$6:$B$57,'AGIRC-ARRCO'!$I$6:$I$57),LOOKUP($A103,'AGIRC-ARRCO'!$B$6:$B$57,'AGIRC-ARRCO'!$J$6:$J$57))))</f>
        <v>2.3913000000000002</v>
      </c>
      <c r="BE103" s="69"/>
      <c r="BF103" s="69"/>
      <c r="BG103" s="71">
        <f t="shared" si="30"/>
        <v>2.3539666666666665</v>
      </c>
      <c r="BH103" s="71"/>
      <c r="BI103" s="71"/>
      <c r="BJ103" s="18">
        <f t="shared" si="58"/>
        <v>3938.4789995280807</v>
      </c>
      <c r="BL103" s="15">
        <v>2055</v>
      </c>
      <c r="BM103" s="22">
        <f>BM102*IF(Simulation!$D$35="SMPT",1+$E103,IF(Simulation!$D$35="PRIX",1+$B103))</f>
        <v>20447.240716394073</v>
      </c>
      <c r="BN103" s="23">
        <f>BN102*IF(Simulation!$D$35="SMPT",1+$E103,IF(Simulation!$D$35="PRIX",1+$B103))</f>
        <v>26731.254211456966</v>
      </c>
      <c r="BO103" s="23">
        <f>BO102*IF(Simulation!$D$35="SMPT",1+$E103,IF(Simulation!$D$35="PRIX",1+$B103))</f>
        <v>41485.960170201346</v>
      </c>
      <c r="BP103" s="5"/>
      <c r="BQ103" s="146">
        <v>0</v>
      </c>
      <c r="BR103" s="146">
        <v>4.2999999999999997E-2</v>
      </c>
      <c r="BS103" s="146">
        <v>7.3999999999999996E-2</v>
      </c>
      <c r="BT103" s="146">
        <v>9.0999999999999998E-2</v>
      </c>
      <c r="BV103" s="15">
        <v>2055</v>
      </c>
      <c r="BW103" s="22">
        <f>BW102*IF(Simulation!$D$35="SMPT",1+$E103,IF(Simulation!$D$35="PRIX",1+$B103))</f>
        <v>31366.296681004231</v>
      </c>
      <c r="BX103" s="23">
        <f>BX102*IF(Simulation!$D$35="SMPT",1+$E103,IF(Simulation!$D$35="PRIX",1+$B103))</f>
        <v>41005.607741029395</v>
      </c>
      <c r="BY103" s="23">
        <f>BY102*IF(Simulation!$D$35="SMPT",1+$E103,IF(Simulation!$D$35="PRIX",1+$B103))</f>
        <v>63635.942706421381</v>
      </c>
      <c r="BZ103" s="5"/>
      <c r="CA103" s="146">
        <v>0</v>
      </c>
      <c r="CB103" s="146">
        <f t="shared" si="41"/>
        <v>4.2999999999999997E-2</v>
      </c>
      <c r="CC103" s="146">
        <f t="shared" si="42"/>
        <v>7.3999999999999996E-2</v>
      </c>
      <c r="CD103" s="146">
        <f t="shared" si="43"/>
        <v>9.0999999999999998E-2</v>
      </c>
      <c r="CE103" s="146">
        <f t="shared" si="43"/>
        <v>3.2000000000000001E-2</v>
      </c>
      <c r="CG103" s="15">
        <v>2055</v>
      </c>
      <c r="CH103" s="317">
        <f t="shared" si="57"/>
        <v>9.1999999999999998E-2</v>
      </c>
      <c r="CI103" s="311">
        <f t="shared" si="25"/>
        <v>6.8000000000000005E-2</v>
      </c>
      <c r="CJ103" s="311">
        <f t="shared" si="26"/>
        <v>5.0000000000000001E-3</v>
      </c>
      <c r="CK103" s="311">
        <f t="shared" si="26"/>
        <v>0.98250000000000004</v>
      </c>
      <c r="CL103" s="313">
        <f t="shared" si="27"/>
        <v>0</v>
      </c>
      <c r="CM103" s="313">
        <v>0</v>
      </c>
      <c r="CN103" s="313">
        <v>0</v>
      </c>
      <c r="CO103" s="318">
        <f t="shared" si="28"/>
        <v>2.4000000000000001E-4</v>
      </c>
    </row>
    <row r="104" spans="1:93" x14ac:dyDescent="0.25">
      <c r="A104" s="15">
        <v>2056</v>
      </c>
      <c r="B104" s="54">
        <f>IF($F$1=1.8%,LOOKUP($A104,Prix!B$6:B$127,Prix!$G$6:$G$127),IF($F$1=1.5%,LOOKUP($A104,Prix!B$6:B$127,Prix!$H$6:$H$127),IF($F$1=1.3%,LOOKUP($A104,Prix!B$6:B$127,Prix!$I$6:$I$127),LOOKUP($A104,Prix!B$6:B$127,Prix!$J$6:$J$127))))</f>
        <v>1.7500000000000002E-2</v>
      </c>
      <c r="C104" s="7">
        <f t="shared" si="59"/>
        <v>1.8038833897369959</v>
      </c>
      <c r="D104" s="5">
        <f>IF($F$1=1.8%,LOOKUP($A104,SMPT!$B$6:$B$127,SMPT!$C$6:$C$127),IF($F$1=1.5%,LOOKUP($A104,SMPT!$B$6:$B$127,SMPT!$D$6:$D$127),IF($F$1=1.3%,LOOKUP($A104,SMPT!$B$6:$B$127,SMPT!$E$6:$E$127),LOOKUP($A104,SMPT!$B$6:$B$127,SMPT!$F$6:$F$127))))</f>
        <v>108128.69704894476</v>
      </c>
      <c r="E104" s="17">
        <f t="shared" si="34"/>
        <v>3.0727500000000019E-2</v>
      </c>
      <c r="F104" s="60">
        <f>IF($F$1=1.8%,LOOKUP($A104,SMIC!$B$6:$B$125,SMIC!$C$6:$C$125),IF($F$1=1.5%,LOOKUP($A104,SMIC!$B$6:$B$125,SMIC!$D$6:$D$125),IF($F$1=1.3%,LOOKUP($A104,SMIC!$B$6:$B$125,SMIC!$E$6:$E$125),LOOKUP($A104,SMIC!$B$6:$B$125,SMIC!$F$6:$F$125))))</f>
        <v>48070.257118766654</v>
      </c>
      <c r="G104" s="153">
        <f t="shared" si="29"/>
        <v>2.9439561801602934</v>
      </c>
      <c r="H104" s="357">
        <f t="shared" si="23"/>
        <v>3.065834767641995E-2</v>
      </c>
      <c r="I104" s="15">
        <v>2056</v>
      </c>
      <c r="J104" s="13">
        <f t="shared" si="60"/>
        <v>54927.450092918662</v>
      </c>
      <c r="K104" s="65">
        <f t="shared" si="44"/>
        <v>0.17749999999999999</v>
      </c>
      <c r="L104" s="65">
        <f t="shared" si="36"/>
        <v>0.10450000000000001</v>
      </c>
      <c r="M104" s="65">
        <f t="shared" si="37"/>
        <v>7.2999999999999982E-2</v>
      </c>
      <c r="N104" s="65">
        <f t="shared" si="16"/>
        <v>2.3000000000000003E-2</v>
      </c>
      <c r="O104" s="65">
        <f>IF(Simulation!$D$43="Oui",$Q104,0)</f>
        <v>1.9000000000000003E-2</v>
      </c>
      <c r="P104" s="65">
        <f>IF(Simulation!$D$43="Oui",$R104,0)</f>
        <v>4.0000000000000001E-3</v>
      </c>
      <c r="Q104" s="678">
        <f t="shared" si="38"/>
        <v>1.9000000000000003E-2</v>
      </c>
      <c r="R104" s="678">
        <f t="shared" si="38"/>
        <v>4.0000000000000001E-3</v>
      </c>
      <c r="S104" s="56">
        <f>IF($F$1=1.8%,LOOKUP($A104,Sal_valid!$B$6:$B$127,Sal_valid!$C$6:$C$127),IF($F$1=1.5%,LOOKUP($A104,Sal_valid!$B$6:$B$127,Sal_valid!$D$6:$D$127),IF($F$1=1.3%,LOOKUP($A104,Sal_valid!$B$6:$B$127,Sal_valid!$E$6:$E$127),LOOKUP($A104,Sal_valid!$B$6:$B$127,Sal_valid!$F$6:$F$127))))</f>
        <v>3961.693864640401</v>
      </c>
      <c r="T104" s="76">
        <f>IF(Simulation!$D$33="Prix",Revalo_RB!$D116,Barèmes!$E104)</f>
        <v>1.7500000000000002E-2</v>
      </c>
      <c r="U104" s="76">
        <f>IF(Simulation!$D$34="Prix",Revalo_RB!$H116,Barèmes!$E104)</f>
        <v>1.7500000000000002E-2</v>
      </c>
      <c r="V104" s="56">
        <f>IF($F$1=1.8%,LOOKUP($A104,PSS!$B$6:$B$127,PSS!$C$6:$C$127),IF($F$1=1.5%,LOOKUP($A104,PSS!$B$6:$B$127,PSS!$D$6:$D$127),IF($F$1=1.3%,LOOKUP($A104,PSS!$B$6:$B$127,PSS!$E$6:$E$127),LOOKUP($A104,PSS!$B$6:$B$127,PSS!$F$6:$F$127))))</f>
        <v>114972</v>
      </c>
      <c r="W104" s="56">
        <f>IF($F$1=1.8%,LOOKUP($A104,Smic_AVPF!$B$6:$B$104,Smic_AVPF!$C$6:$C$104),IF($F$1=1.5%,LOOKUP($A104,Smic_AVPF!$B$6:$B$104,Smic_AVPF!$D$6:$D$104),IF($F$1=1.3%,LOOKUP($A104,Smic_AVPF!$B$6:$B$104,Smic_AVPF!$E$6:$E$104),LOOKUP($A104,Smic_AVPF!$B$6:$B$104,Smic_AVPF!$F$6:$F$104))))</f>
        <v>52928.854535062113</v>
      </c>
      <c r="X104" s="56">
        <f>IF(Simulation!$D$32="SMPT",(1+$E104)*X103,IF(Simulation!$D$32="PRIX",Minima!$O53))</f>
        <v>13966.860058030416</v>
      </c>
      <c r="Y104" s="56">
        <f>IF(Simulation!$D$32="SMPT",(1+$E104)*Y103,IF(Simulation!$D$32="PRIX",Minima!$P53))</f>
        <v>15261.955720742482</v>
      </c>
      <c r="Z104" s="56">
        <f t="shared" si="45"/>
        <v>26037.578608935248</v>
      </c>
      <c r="AA104" s="58"/>
      <c r="AB104" s="15">
        <v>2056</v>
      </c>
      <c r="AC104" s="64">
        <f t="shared" si="46"/>
        <v>6.2E-2</v>
      </c>
      <c r="AD104" s="65">
        <f t="shared" si="39"/>
        <v>3.7200000000000004E-2</v>
      </c>
      <c r="AE104" s="65">
        <f t="shared" si="47"/>
        <v>2.4799999999999996E-2</v>
      </c>
      <c r="AF104" s="65">
        <f t="shared" si="48"/>
        <v>0.17</v>
      </c>
      <c r="AG104" s="65">
        <f t="shared" si="40"/>
        <v>0.10200000000000001</v>
      </c>
      <c r="AH104" s="65">
        <f t="shared" si="49"/>
        <v>6.8000000000000005E-2</v>
      </c>
      <c r="AI104" s="66">
        <f t="shared" si="50"/>
        <v>1.27</v>
      </c>
      <c r="AJ104" s="66"/>
      <c r="AK104" s="66"/>
      <c r="AL104" s="65">
        <f t="shared" si="20"/>
        <v>3.4999999999999996E-3</v>
      </c>
      <c r="AM104" s="65">
        <f>IF(Simulation!$D$42="Oui",Barèmes!$AO104,0)</f>
        <v>2.0999999999999999E-3</v>
      </c>
      <c r="AN104" s="65">
        <f>IF(Simulation!$D$42="Oui",Barèmes!$AP104,0)</f>
        <v>1.3999999999999998E-3</v>
      </c>
      <c r="AO104" s="678">
        <f t="shared" si="51"/>
        <v>2.0999999999999999E-3</v>
      </c>
      <c r="AP104" s="678">
        <f t="shared" si="52"/>
        <v>1.3999999999999998E-3</v>
      </c>
      <c r="AQ104" s="65">
        <f t="shared" si="15"/>
        <v>2.1499999999999998E-2</v>
      </c>
      <c r="AR104" s="65">
        <f>IF(Simulation!$D$42="Oui",Barèmes!$AT104,0)</f>
        <v>1.29E-2</v>
      </c>
      <c r="AS104" s="65">
        <f>IF(Simulation!$D$42="Oui",Barèmes!$AU104,0)</f>
        <v>8.6E-3</v>
      </c>
      <c r="AT104" s="678">
        <f t="shared" si="53"/>
        <v>1.29E-2</v>
      </c>
      <c r="AU104" s="678">
        <f t="shared" si="54"/>
        <v>8.6E-3</v>
      </c>
      <c r="AV104" s="65">
        <f t="shared" si="21"/>
        <v>2.7000000000000003E-2</v>
      </c>
      <c r="AW104" s="65">
        <f>IF(Simulation!$D$42="Oui",Barèmes!$AY104,0)</f>
        <v>1.6200000000000003E-2</v>
      </c>
      <c r="AX104" s="65">
        <f>IF(Simulation!$D$42="Oui",Barèmes!$AZ104,0)</f>
        <v>1.0800000000000001E-2</v>
      </c>
      <c r="AY104" s="678">
        <f t="shared" si="55"/>
        <v>1.6200000000000003E-2</v>
      </c>
      <c r="AZ104" s="678">
        <f t="shared" si="56"/>
        <v>1.0800000000000001E-2</v>
      </c>
      <c r="BA104" s="69">
        <f>IF($F$1=1.8%,LOOKUP($A104,'AGIRC-ARRCO'!$B$6:$B$57,'AGIRC-ARRCO'!$C$6:$C$57),IF($F$1=1.5%,LOOKUP($A104,'AGIRC-ARRCO'!$B$6:$B$57,'AGIRC-ARRCO'!$D$6:$D$57),IF($F$1=1.3%,LOOKUP($A104,'AGIRC-ARRCO'!$B$6:$B$57,'AGIRC-ARRCO'!$E$6:$E$57),LOOKUP($A104,'AGIRC-ARRCO'!$B$6:$B$57,'AGIRC-ARRCO'!$F$6:$F$57))))</f>
        <v>37.462899999999998</v>
      </c>
      <c r="BB104" s="69"/>
      <c r="BC104" s="69"/>
      <c r="BD104" s="69">
        <f>IF($F$1=1.8%,LOOKUP($A104,'AGIRC-ARRCO'!$B$6:$B$57,'AGIRC-ARRCO'!$G$6:$G$57),IF($F$1=1.5%,LOOKUP($A104,'AGIRC-ARRCO'!$B$6:$B$57,'AGIRC-ARRCO'!$H$6:$H$57),IF($F$1=1.3%,LOOKUP($A104,'AGIRC-ARRCO'!$B$6:$B$57,'AGIRC-ARRCO'!$I$6:$I$57),LOOKUP($A104,'AGIRC-ARRCO'!$B$6:$B$57,'AGIRC-ARRCO'!$J$6:$J$57))))</f>
        <v>2.4369999999999998</v>
      </c>
      <c r="BE104" s="69"/>
      <c r="BF104" s="69"/>
      <c r="BG104" s="71">
        <f t="shared" si="30"/>
        <v>2.398916666666667</v>
      </c>
      <c r="BH104" s="71"/>
      <c r="BI104" s="71"/>
      <c r="BJ104" s="18">
        <f t="shared" si="58"/>
        <v>4013.7470504955177</v>
      </c>
      <c r="BL104" s="15">
        <v>2056</v>
      </c>
      <c r="BM104" s="22">
        <f>BM103*IF(Simulation!$D$35="SMPT",1+$E104,IF(Simulation!$D$35="PRIX",1+$B104))</f>
        <v>20805.067428930972</v>
      </c>
      <c r="BN104" s="23">
        <f>BN103*IF(Simulation!$D$35="SMPT",1+$E104,IF(Simulation!$D$35="PRIX",1+$B104))</f>
        <v>27199.051160157465</v>
      </c>
      <c r="BO104" s="23">
        <f>BO103*IF(Simulation!$D$35="SMPT",1+$E104,IF(Simulation!$D$35="PRIX",1+$B104))</f>
        <v>42211.964473179869</v>
      </c>
      <c r="BP104" s="5"/>
      <c r="BQ104" s="146">
        <v>0</v>
      </c>
      <c r="BR104" s="146">
        <v>4.2999999999999997E-2</v>
      </c>
      <c r="BS104" s="146">
        <v>7.3999999999999996E-2</v>
      </c>
      <c r="BT104" s="146">
        <v>9.0999999999999998E-2</v>
      </c>
      <c r="BV104" s="15">
        <v>2056</v>
      </c>
      <c r="BW104" s="22">
        <f>BW103*IF(Simulation!$D$35="SMPT",1+$E104,IF(Simulation!$D$35="PRIX",1+$B104))</f>
        <v>31915.206872921808</v>
      </c>
      <c r="BX104" s="23">
        <f>BX103*IF(Simulation!$D$35="SMPT",1+$E104,IF(Simulation!$D$35="PRIX",1+$B104))</f>
        <v>41723.205876497414</v>
      </c>
      <c r="BY104" s="23">
        <f>BY103*IF(Simulation!$D$35="SMPT",1+$E104,IF(Simulation!$D$35="PRIX",1+$B104))</f>
        <v>64749.57170378376</v>
      </c>
      <c r="BZ104" s="5"/>
      <c r="CA104" s="146">
        <v>0</v>
      </c>
      <c r="CB104" s="146">
        <f t="shared" si="41"/>
        <v>4.2999999999999997E-2</v>
      </c>
      <c r="CC104" s="146">
        <f t="shared" si="42"/>
        <v>7.3999999999999996E-2</v>
      </c>
      <c r="CD104" s="146">
        <f t="shared" si="43"/>
        <v>9.0999999999999998E-2</v>
      </c>
      <c r="CE104" s="146">
        <f t="shared" si="43"/>
        <v>3.2000000000000001E-2</v>
      </c>
      <c r="CG104" s="15">
        <v>2056</v>
      </c>
      <c r="CH104" s="317">
        <f t="shared" si="57"/>
        <v>9.1999999999999998E-2</v>
      </c>
      <c r="CI104" s="311">
        <f t="shared" si="25"/>
        <v>6.8000000000000005E-2</v>
      </c>
      <c r="CJ104" s="311">
        <f t="shared" si="26"/>
        <v>5.0000000000000001E-3</v>
      </c>
      <c r="CK104" s="311">
        <f t="shared" si="26"/>
        <v>0.98250000000000004</v>
      </c>
      <c r="CL104" s="313">
        <f t="shared" si="27"/>
        <v>0</v>
      </c>
      <c r="CM104" s="313">
        <v>0</v>
      </c>
      <c r="CN104" s="313">
        <v>0</v>
      </c>
      <c r="CO104" s="318">
        <f t="shared" si="28"/>
        <v>2.4000000000000001E-4</v>
      </c>
    </row>
    <row r="105" spans="1:93" x14ac:dyDescent="0.25">
      <c r="A105" s="15">
        <v>2057</v>
      </c>
      <c r="B105" s="54">
        <f>IF($F$1=1.8%,LOOKUP($A105,Prix!B$6:B$127,Prix!$G$6:$G$127),IF($F$1=1.5%,LOOKUP($A105,Prix!B$6:B$127,Prix!$H$6:$H$127),IF($F$1=1.3%,LOOKUP($A105,Prix!B$6:B$127,Prix!$I$6:$I$127),LOOKUP($A105,Prix!B$6:B$127,Prix!$J$6:$J$127))))</f>
        <v>1.7500000000000002E-2</v>
      </c>
      <c r="C105" s="7">
        <f t="shared" si="59"/>
        <v>1.8354513490573934</v>
      </c>
      <c r="D105" s="5">
        <f>IF($F$1=1.8%,LOOKUP($A105,SMPT!$B$6:$B$127,SMPT!$C$6:$C$127),IF($F$1=1.5%,LOOKUP($A105,SMPT!$B$6:$B$127,SMPT!$D$6:$D$127),IF($F$1=1.3%,LOOKUP($A105,SMPT!$B$6:$B$127,SMPT!$E$6:$E$127),LOOKUP($A105,SMPT!$B$6:$B$127,SMPT!$F$6:$F$127))))</f>
        <v>111451.22158751621</v>
      </c>
      <c r="E105" s="17">
        <f t="shared" si="34"/>
        <v>3.0727500000000019E-2</v>
      </c>
      <c r="F105" s="60">
        <f>IF($F$1=1.8%,LOOKUP($A105,SMIC!$B$6:$B$125,SMIC!$C$6:$C$125),IF($F$1=1.5%,LOOKUP($A105,SMIC!$B$6:$B$125,SMIC!$D$6:$D$125),IF($F$1=1.3%,LOOKUP($A105,SMIC!$B$6:$B$125,SMIC!$E$6:$E$125),LOOKUP($A105,SMIC!$B$6:$B$125,SMIC!$F$6:$F$125))))</f>
        <v>49547.335944383558</v>
      </c>
      <c r="G105" s="153">
        <f t="shared" si="29"/>
        <v>3.0344165936861689</v>
      </c>
      <c r="H105" s="357">
        <f t="shared" si="23"/>
        <v>3.068573217826942E-2</v>
      </c>
      <c r="I105" s="15">
        <v>2057</v>
      </c>
      <c r="J105" s="13">
        <f t="shared" si="60"/>
        <v>56615.233315648817</v>
      </c>
      <c r="K105" s="65">
        <f t="shared" si="44"/>
        <v>0.17749999999999999</v>
      </c>
      <c r="L105" s="65">
        <f t="shared" si="36"/>
        <v>0.10450000000000001</v>
      </c>
      <c r="M105" s="65">
        <f t="shared" si="37"/>
        <v>7.2999999999999982E-2</v>
      </c>
      <c r="N105" s="65">
        <f t="shared" si="16"/>
        <v>2.3000000000000003E-2</v>
      </c>
      <c r="O105" s="65">
        <f>IF(Simulation!$D$43="Oui",$Q105,0)</f>
        <v>1.9000000000000003E-2</v>
      </c>
      <c r="P105" s="65">
        <f>IF(Simulation!$D$43="Oui",$R105,0)</f>
        <v>4.0000000000000001E-3</v>
      </c>
      <c r="Q105" s="678">
        <f t="shared" si="38"/>
        <v>1.9000000000000003E-2</v>
      </c>
      <c r="R105" s="678">
        <f t="shared" si="38"/>
        <v>4.0000000000000001E-3</v>
      </c>
      <c r="S105" s="56">
        <f>IF($F$1=1.8%,LOOKUP($A105,Sal_valid!$B$6:$B$127,Sal_valid!$C$6:$C$127),IF($F$1=1.5%,LOOKUP($A105,Sal_valid!$B$6:$B$127,Sal_valid!$D$6:$D$127),IF($F$1=1.3%,LOOKUP($A105,Sal_valid!$B$6:$B$127,Sal_valid!$E$6:$E$127),LOOKUP($A105,Sal_valid!$B$6:$B$127,Sal_valid!$F$6:$F$127))))</f>
        <v>4083.4268128661388</v>
      </c>
      <c r="T105" s="76">
        <f>IF(Simulation!$D$33="Prix",Revalo_RB!$D117,Barèmes!$E105)</f>
        <v>1.7500000000000002E-2</v>
      </c>
      <c r="U105" s="76">
        <f>IF(Simulation!$D$34="Prix",Revalo_RB!$H117,Barèmes!$E105)</f>
        <v>1.7500000000000002E-2</v>
      </c>
      <c r="V105" s="56">
        <f>IF($F$1=1.8%,LOOKUP($A105,PSS!$B$6:$B$127,PSS!$C$6:$C$127),IF($F$1=1.5%,LOOKUP($A105,PSS!$B$6:$B$127,PSS!$D$6:$D$127),IF($F$1=1.3%,LOOKUP($A105,PSS!$B$6:$B$127,PSS!$E$6:$E$127),LOOKUP($A105,PSS!$B$6:$B$127,PSS!$F$6:$F$127))))</f>
        <v>118500</v>
      </c>
      <c r="W105" s="56">
        <f>IF($F$1=1.8%,LOOKUP($A105,Smic_AVPF!$B$6:$B$104,Smic_AVPF!$C$6:$C$104),IF($F$1=1.5%,LOOKUP($A105,Smic_AVPF!$B$6:$B$104,Smic_AVPF!$D$6:$D$104),IF($F$1=1.3%,LOOKUP($A105,Smic_AVPF!$B$6:$B$104,Smic_AVPF!$E$6:$E$104),LOOKUP($A105,Smic_AVPF!$B$6:$B$104,Smic_AVPF!$F$6:$F$104))))</f>
        <v>54555.225912788235</v>
      </c>
      <c r="X105" s="56">
        <f>IF(Simulation!$D$32="SMPT",(1+$E105)*X104,IF(Simulation!$D$32="PRIX",Minima!$O54))</f>
        <v>14211.280109045949</v>
      </c>
      <c r="Y105" s="56">
        <f>IF(Simulation!$D$32="SMPT",(1+$E105)*Y104,IF(Simulation!$D$32="PRIX",Minima!$P54))</f>
        <v>15529.039945855477</v>
      </c>
      <c r="Z105" s="56">
        <f t="shared" si="45"/>
        <v>26493.236234591615</v>
      </c>
      <c r="AA105" s="58"/>
      <c r="AB105" s="15">
        <v>2057</v>
      </c>
      <c r="AC105" s="64">
        <f t="shared" si="46"/>
        <v>6.2E-2</v>
      </c>
      <c r="AD105" s="65">
        <f t="shared" si="39"/>
        <v>3.7200000000000004E-2</v>
      </c>
      <c r="AE105" s="65">
        <f t="shared" si="47"/>
        <v>2.4799999999999996E-2</v>
      </c>
      <c r="AF105" s="65">
        <f t="shared" si="48"/>
        <v>0.17</v>
      </c>
      <c r="AG105" s="65">
        <f t="shared" si="40"/>
        <v>0.10200000000000001</v>
      </c>
      <c r="AH105" s="65">
        <f t="shared" si="49"/>
        <v>6.8000000000000005E-2</v>
      </c>
      <c r="AI105" s="66">
        <f t="shared" si="50"/>
        <v>1.27</v>
      </c>
      <c r="AJ105" s="66"/>
      <c r="AK105" s="66"/>
      <c r="AL105" s="65">
        <f t="shared" si="20"/>
        <v>3.4999999999999996E-3</v>
      </c>
      <c r="AM105" s="65">
        <f>IF(Simulation!$D$42="Oui",Barèmes!$AO105,0)</f>
        <v>2.0999999999999999E-3</v>
      </c>
      <c r="AN105" s="65">
        <f>IF(Simulation!$D$42="Oui",Barèmes!$AP105,0)</f>
        <v>1.3999999999999998E-3</v>
      </c>
      <c r="AO105" s="678">
        <f t="shared" si="51"/>
        <v>2.0999999999999999E-3</v>
      </c>
      <c r="AP105" s="678">
        <f t="shared" si="52"/>
        <v>1.3999999999999998E-3</v>
      </c>
      <c r="AQ105" s="65">
        <f t="shared" si="15"/>
        <v>2.1499999999999998E-2</v>
      </c>
      <c r="AR105" s="65">
        <f>IF(Simulation!$D$42="Oui",Barèmes!$AT105,0)</f>
        <v>1.29E-2</v>
      </c>
      <c r="AS105" s="65">
        <f>IF(Simulation!$D$42="Oui",Barèmes!$AU105,0)</f>
        <v>8.6E-3</v>
      </c>
      <c r="AT105" s="678">
        <f t="shared" si="53"/>
        <v>1.29E-2</v>
      </c>
      <c r="AU105" s="678">
        <f t="shared" si="54"/>
        <v>8.6E-3</v>
      </c>
      <c r="AV105" s="65">
        <f t="shared" si="21"/>
        <v>2.7000000000000003E-2</v>
      </c>
      <c r="AW105" s="65">
        <f>IF(Simulation!$D$42="Oui",Barèmes!$AY105,0)</f>
        <v>1.6200000000000003E-2</v>
      </c>
      <c r="AX105" s="65">
        <f>IF(Simulation!$D$42="Oui",Barèmes!$AZ105,0)</f>
        <v>1.0800000000000001E-2</v>
      </c>
      <c r="AY105" s="678">
        <f t="shared" si="55"/>
        <v>1.6200000000000003E-2</v>
      </c>
      <c r="AZ105" s="678">
        <f t="shared" si="56"/>
        <v>1.0800000000000001E-2</v>
      </c>
      <c r="BA105" s="69">
        <f>IF($F$1=1.8%,LOOKUP($A105,'AGIRC-ARRCO'!$B$6:$B$57,'AGIRC-ARRCO'!$C$6:$C$57),IF($F$1=1.5%,LOOKUP($A105,'AGIRC-ARRCO'!$B$6:$B$57,'AGIRC-ARRCO'!$D$6:$D$57),IF($F$1=1.3%,LOOKUP($A105,'AGIRC-ARRCO'!$B$6:$B$57,'AGIRC-ARRCO'!$E$6:$E$57),LOOKUP($A105,'AGIRC-ARRCO'!$B$6:$B$57,'AGIRC-ARRCO'!$F$6:$F$57))))</f>
        <v>38.178400000000003</v>
      </c>
      <c r="BB105" s="69"/>
      <c r="BC105" s="69"/>
      <c r="BD105" s="69">
        <f>IF($F$1=1.8%,LOOKUP($A105,'AGIRC-ARRCO'!$B$6:$B$57,'AGIRC-ARRCO'!$G$6:$G$57),IF($F$1=1.5%,LOOKUP($A105,'AGIRC-ARRCO'!$B$6:$B$57,'AGIRC-ARRCO'!$H$6:$H$57),IF($F$1=1.3%,LOOKUP($A105,'AGIRC-ARRCO'!$B$6:$B$57,'AGIRC-ARRCO'!$I$6:$I$57),LOOKUP($A105,'AGIRC-ARRCO'!$B$6:$B$57,'AGIRC-ARRCO'!$J$6:$J$57))))</f>
        <v>2.4836</v>
      </c>
      <c r="BE105" s="69"/>
      <c r="BF105" s="69"/>
      <c r="BG105" s="71">
        <f t="shared" si="30"/>
        <v>2.4447666666666668</v>
      </c>
      <c r="BH105" s="71"/>
      <c r="BI105" s="71"/>
      <c r="BJ105" s="18">
        <f t="shared" si="58"/>
        <v>4090.4974044360561</v>
      </c>
      <c r="BL105" s="15">
        <v>2057</v>
      </c>
      <c r="BM105" s="22">
        <f>BM104*IF(Simulation!$D$35="SMPT",1+$E105,IF(Simulation!$D$35="PRIX",1+$B105))</f>
        <v>21169.156108937266</v>
      </c>
      <c r="BN105" s="23">
        <f>BN104*IF(Simulation!$D$35="SMPT",1+$E105,IF(Simulation!$D$35="PRIX",1+$B105))</f>
        <v>27675.034555460225</v>
      </c>
      <c r="BO105" s="23">
        <f>BO104*IF(Simulation!$D$35="SMPT",1+$E105,IF(Simulation!$D$35="PRIX",1+$B105))</f>
        <v>42950.673851460517</v>
      </c>
      <c r="BP105" s="5"/>
      <c r="BQ105" s="146">
        <v>0</v>
      </c>
      <c r="BR105" s="146">
        <v>4.2999999999999997E-2</v>
      </c>
      <c r="BS105" s="146">
        <v>7.3999999999999996E-2</v>
      </c>
      <c r="BT105" s="146">
        <v>9.0999999999999998E-2</v>
      </c>
      <c r="BV105" s="15">
        <v>2057</v>
      </c>
      <c r="BW105" s="22">
        <f>BW104*IF(Simulation!$D$35="SMPT",1+$E105,IF(Simulation!$D$35="PRIX",1+$B105))</f>
        <v>32473.722993197942</v>
      </c>
      <c r="BX105" s="23">
        <f>BX104*IF(Simulation!$D$35="SMPT",1+$E105,IF(Simulation!$D$35="PRIX",1+$B105))</f>
        <v>42453.361979336121</v>
      </c>
      <c r="BY105" s="23">
        <f>BY104*IF(Simulation!$D$35="SMPT",1+$E105,IF(Simulation!$D$35="PRIX",1+$B105))</f>
        <v>65882.689208599986</v>
      </c>
      <c r="BZ105" s="5"/>
      <c r="CA105" s="146">
        <v>0</v>
      </c>
      <c r="CB105" s="146">
        <f t="shared" si="41"/>
        <v>4.2999999999999997E-2</v>
      </c>
      <c r="CC105" s="146">
        <f t="shared" si="42"/>
        <v>7.3999999999999996E-2</v>
      </c>
      <c r="CD105" s="146">
        <f t="shared" si="43"/>
        <v>9.0999999999999998E-2</v>
      </c>
      <c r="CE105" s="146">
        <f t="shared" si="43"/>
        <v>3.2000000000000001E-2</v>
      </c>
      <c r="CG105" s="15">
        <v>2057</v>
      </c>
      <c r="CH105" s="317">
        <f t="shared" si="57"/>
        <v>9.1999999999999998E-2</v>
      </c>
      <c r="CI105" s="311">
        <f t="shared" si="25"/>
        <v>6.8000000000000005E-2</v>
      </c>
      <c r="CJ105" s="311">
        <f t="shared" si="26"/>
        <v>5.0000000000000001E-3</v>
      </c>
      <c r="CK105" s="311">
        <f t="shared" si="26"/>
        <v>0.98250000000000004</v>
      </c>
      <c r="CL105" s="313">
        <f t="shared" si="27"/>
        <v>0</v>
      </c>
      <c r="CM105" s="313">
        <v>0</v>
      </c>
      <c r="CN105" s="313">
        <v>0</v>
      </c>
      <c r="CO105" s="318">
        <f t="shared" si="28"/>
        <v>2.4000000000000001E-4</v>
      </c>
    </row>
    <row r="106" spans="1:93" x14ac:dyDescent="0.25">
      <c r="A106" s="15">
        <v>2058</v>
      </c>
      <c r="B106" s="54">
        <f>IF($F$1=1.8%,LOOKUP($A106,Prix!B$6:B$127,Prix!$G$6:$G$127),IF($F$1=1.5%,LOOKUP($A106,Prix!B$6:B$127,Prix!$H$6:$H$127),IF($F$1=1.3%,LOOKUP($A106,Prix!B$6:B$127,Prix!$I$6:$I$127),LOOKUP($A106,Prix!B$6:B$127,Prix!$J$6:$J$127))))</f>
        <v>1.7500000000000002E-2</v>
      </c>
      <c r="C106" s="7">
        <f t="shared" si="59"/>
        <v>1.867571747665898</v>
      </c>
      <c r="D106" s="5">
        <f>IF($F$1=1.8%,LOOKUP($A106,SMPT!$B$6:$B$127,SMPT!$C$6:$C$127),IF($F$1=1.5%,LOOKUP($A106,SMPT!$B$6:$B$127,SMPT!$D$6:$D$127),IF($F$1=1.3%,LOOKUP($A106,SMPT!$B$6:$B$127,SMPT!$E$6:$E$127),LOOKUP($A106,SMPT!$B$6:$B$127,SMPT!$F$6:$F$127))))</f>
        <v>114875.83899884661</v>
      </c>
      <c r="E106" s="17">
        <f t="shared" si="34"/>
        <v>3.0727500000000019E-2</v>
      </c>
      <c r="F106" s="60">
        <f>IF($F$1=1.8%,LOOKUP($A106,SMIC!$B$6:$B$125,SMIC!$C$6:$C$125),IF($F$1=1.5%,LOOKUP($A106,SMIC!$B$6:$B$125,SMIC!$D$6:$D$125),IF($F$1=1.3%,LOOKUP($A106,SMIC!$B$6:$B$125,SMIC!$E$6:$E$125),LOOKUP($A106,SMIC!$B$6:$B$125,SMIC!$F$6:$F$125))))</f>
        <v>51069.8017096146</v>
      </c>
      <c r="G106" s="153">
        <f t="shared" si="29"/>
        <v>3.1276566295686603</v>
      </c>
      <c r="H106" s="357">
        <f t="shared" si="23"/>
        <v>3.0683544303797383E-2</v>
      </c>
      <c r="I106" s="15">
        <v>2058</v>
      </c>
      <c r="J106" s="13">
        <f t="shared" si="60"/>
        <v>58354.877897355407</v>
      </c>
      <c r="K106" s="65">
        <f t="shared" si="44"/>
        <v>0.17749999999999999</v>
      </c>
      <c r="L106" s="65">
        <f t="shared" si="36"/>
        <v>0.10450000000000001</v>
      </c>
      <c r="M106" s="65">
        <f t="shared" si="37"/>
        <v>7.2999999999999982E-2</v>
      </c>
      <c r="N106" s="65">
        <f t="shared" si="16"/>
        <v>2.3000000000000003E-2</v>
      </c>
      <c r="O106" s="65">
        <f>IF(Simulation!$D$43="Oui",$Q106,0)</f>
        <v>1.9000000000000003E-2</v>
      </c>
      <c r="P106" s="65">
        <f>IF(Simulation!$D$43="Oui",$R106,0)</f>
        <v>4.0000000000000001E-3</v>
      </c>
      <c r="Q106" s="678">
        <f t="shared" si="38"/>
        <v>1.9000000000000003E-2</v>
      </c>
      <c r="R106" s="678">
        <f t="shared" si="38"/>
        <v>4.0000000000000001E-3</v>
      </c>
      <c r="S106" s="56">
        <f>IF($F$1=1.8%,LOOKUP($A106,Sal_valid!$B$6:$B$127,Sal_valid!$C$6:$C$127),IF($F$1=1.5%,LOOKUP($A106,Sal_valid!$B$6:$B$127,Sal_valid!$D$6:$D$127),IF($F$1=1.3%,LOOKUP($A106,Sal_valid!$B$6:$B$127,Sal_valid!$E$6:$E$127),LOOKUP($A106,Sal_valid!$B$6:$B$127,Sal_valid!$F$6:$F$127))))</f>
        <v>4208.9003102584829</v>
      </c>
      <c r="T106" s="76">
        <f>IF(Simulation!$D$33="Prix",Revalo_RB!$D118,Barèmes!$E106)</f>
        <v>1.7500000000000002E-2</v>
      </c>
      <c r="U106" s="76">
        <f>IF(Simulation!$D$34="Prix",Revalo_RB!$H118,Barèmes!$E106)</f>
        <v>1.7500000000000002E-2</v>
      </c>
      <c r="V106" s="56">
        <f>IF($F$1=1.8%,LOOKUP($A106,PSS!$B$6:$B$127,PSS!$C$6:$C$127),IF($F$1=1.5%,LOOKUP($A106,PSS!$B$6:$B$127,PSS!$D$6:$D$127),IF($F$1=1.3%,LOOKUP($A106,PSS!$B$6:$B$127,PSS!$E$6:$E$127),LOOKUP($A106,PSS!$B$6:$B$127,PSS!$F$6:$F$127))))</f>
        <v>122136</v>
      </c>
      <c r="W106" s="56">
        <f>IF($F$1=1.8%,LOOKUP($A106,Smic_AVPF!$B$6:$B$104,Smic_AVPF!$C$6:$C$104),IF($F$1=1.5%,LOOKUP($A106,Smic_AVPF!$B$6:$B$104,Smic_AVPF!$D$6:$D$104),IF($F$1=1.3%,LOOKUP($A106,Smic_AVPF!$B$6:$B$104,Smic_AVPF!$E$6:$E$104),LOOKUP($A106,Smic_AVPF!$B$6:$B$104,Smic_AVPF!$F$6:$F$104))))</f>
        <v>56231.571617023437</v>
      </c>
      <c r="X106" s="56">
        <f>IF(Simulation!$D$32="SMPT",(1+$E106)*X105,IF(Simulation!$D$32="PRIX",Minima!$O55))</f>
        <v>14459.977510954253</v>
      </c>
      <c r="Y106" s="56">
        <f>IF(Simulation!$D$32="SMPT",(1+$E106)*Y105,IF(Simulation!$D$32="PRIX",Minima!$P55))</f>
        <v>15800.798144907949</v>
      </c>
      <c r="Z106" s="56">
        <f t="shared" si="45"/>
        <v>26956.867868696972</v>
      </c>
      <c r="AA106" s="58"/>
      <c r="AB106" s="15">
        <v>2058</v>
      </c>
      <c r="AC106" s="64">
        <f t="shared" si="46"/>
        <v>6.2E-2</v>
      </c>
      <c r="AD106" s="65">
        <f t="shared" si="39"/>
        <v>3.7200000000000004E-2</v>
      </c>
      <c r="AE106" s="65">
        <f t="shared" si="47"/>
        <v>2.4799999999999996E-2</v>
      </c>
      <c r="AF106" s="65">
        <f t="shared" si="48"/>
        <v>0.17</v>
      </c>
      <c r="AG106" s="65">
        <f t="shared" si="40"/>
        <v>0.10200000000000001</v>
      </c>
      <c r="AH106" s="65">
        <f t="shared" si="49"/>
        <v>6.8000000000000005E-2</v>
      </c>
      <c r="AI106" s="66">
        <f t="shared" si="50"/>
        <v>1.27</v>
      </c>
      <c r="AJ106" s="66"/>
      <c r="AK106" s="66"/>
      <c r="AL106" s="65">
        <f t="shared" si="20"/>
        <v>3.4999999999999996E-3</v>
      </c>
      <c r="AM106" s="65">
        <f>IF(Simulation!$D$42="Oui",Barèmes!$AO106,0)</f>
        <v>2.0999999999999999E-3</v>
      </c>
      <c r="AN106" s="65">
        <f>IF(Simulation!$D$42="Oui",Barèmes!$AP106,0)</f>
        <v>1.3999999999999998E-3</v>
      </c>
      <c r="AO106" s="678">
        <f t="shared" si="51"/>
        <v>2.0999999999999999E-3</v>
      </c>
      <c r="AP106" s="678">
        <f t="shared" si="52"/>
        <v>1.3999999999999998E-3</v>
      </c>
      <c r="AQ106" s="65">
        <f t="shared" si="15"/>
        <v>2.1499999999999998E-2</v>
      </c>
      <c r="AR106" s="65">
        <f>IF(Simulation!$D$42="Oui",Barèmes!$AT106,0)</f>
        <v>1.29E-2</v>
      </c>
      <c r="AS106" s="65">
        <f>IF(Simulation!$D$42="Oui",Barèmes!$AU106,0)</f>
        <v>8.6E-3</v>
      </c>
      <c r="AT106" s="678">
        <f t="shared" si="53"/>
        <v>1.29E-2</v>
      </c>
      <c r="AU106" s="678">
        <f t="shared" si="54"/>
        <v>8.6E-3</v>
      </c>
      <c r="AV106" s="65">
        <f t="shared" si="21"/>
        <v>2.7000000000000003E-2</v>
      </c>
      <c r="AW106" s="65">
        <f>IF(Simulation!$D$42="Oui",Barèmes!$AY106,0)</f>
        <v>1.6200000000000003E-2</v>
      </c>
      <c r="AX106" s="65">
        <f>IF(Simulation!$D$42="Oui",Barèmes!$AZ106,0)</f>
        <v>1.0800000000000001E-2</v>
      </c>
      <c r="AY106" s="678">
        <f t="shared" si="55"/>
        <v>1.6200000000000003E-2</v>
      </c>
      <c r="AZ106" s="678">
        <f t="shared" si="56"/>
        <v>1.0800000000000001E-2</v>
      </c>
      <c r="BA106" s="69">
        <f>IF($F$1=1.8%,LOOKUP($A106,'AGIRC-ARRCO'!$B$6:$B$57,'AGIRC-ARRCO'!$C$6:$C$57),IF($F$1=1.5%,LOOKUP($A106,'AGIRC-ARRCO'!$B$6:$B$57,'AGIRC-ARRCO'!$D$6:$D$57),IF($F$1=1.3%,LOOKUP($A106,'AGIRC-ARRCO'!$B$6:$B$57,'AGIRC-ARRCO'!$E$6:$E$57),LOOKUP($A106,'AGIRC-ARRCO'!$B$6:$B$57,'AGIRC-ARRCO'!$F$6:$F$57))))</f>
        <v>38.907600000000002</v>
      </c>
      <c r="BB106" s="69"/>
      <c r="BC106" s="69"/>
      <c r="BD106" s="69">
        <f>IF($F$1=1.8%,LOOKUP($A106,'AGIRC-ARRCO'!$B$6:$B$57,'AGIRC-ARRCO'!$G$6:$G$57),IF($F$1=1.5%,LOOKUP($A106,'AGIRC-ARRCO'!$B$6:$B$57,'AGIRC-ARRCO'!$H$6:$H$57),IF($F$1=1.3%,LOOKUP($A106,'AGIRC-ARRCO'!$B$6:$B$57,'AGIRC-ARRCO'!$I$6:$I$57),LOOKUP($A106,'AGIRC-ARRCO'!$B$6:$B$57,'AGIRC-ARRCO'!$J$6:$J$57))))</f>
        <v>2.5310999999999999</v>
      </c>
      <c r="BE106" s="69"/>
      <c r="BF106" s="69"/>
      <c r="BG106" s="71">
        <f t="shared" si="30"/>
        <v>2.491516666666667</v>
      </c>
      <c r="BH106" s="71"/>
      <c r="BI106" s="71"/>
      <c r="BJ106" s="18">
        <f t="shared" si="58"/>
        <v>4168.7300613496946</v>
      </c>
      <c r="BL106" s="15">
        <v>2058</v>
      </c>
      <c r="BM106" s="22">
        <f>BM105*IF(Simulation!$D$35="SMPT",1+$E106,IF(Simulation!$D$35="PRIX",1+$B106))</f>
        <v>21539.61634084367</v>
      </c>
      <c r="BN106" s="23">
        <f>BN105*IF(Simulation!$D$35="SMPT",1+$E106,IF(Simulation!$D$35="PRIX",1+$B106))</f>
        <v>28159.347660180782</v>
      </c>
      <c r="BO106" s="23">
        <f>BO105*IF(Simulation!$D$35="SMPT",1+$E106,IF(Simulation!$D$35="PRIX",1+$B106))</f>
        <v>43702.310643861078</v>
      </c>
      <c r="BP106" s="5"/>
      <c r="BQ106" s="146">
        <v>0</v>
      </c>
      <c r="BR106" s="146">
        <v>4.2999999999999997E-2</v>
      </c>
      <c r="BS106" s="146">
        <v>7.3999999999999996E-2</v>
      </c>
      <c r="BT106" s="146">
        <v>9.0999999999999998E-2</v>
      </c>
      <c r="BV106" s="15">
        <v>2058</v>
      </c>
      <c r="BW106" s="22">
        <f>BW105*IF(Simulation!$D$35="SMPT",1+$E106,IF(Simulation!$D$35="PRIX",1+$B106))</f>
        <v>33042.013145578909</v>
      </c>
      <c r="BX106" s="23">
        <f>BX105*IF(Simulation!$D$35="SMPT",1+$E106,IF(Simulation!$D$35="PRIX",1+$B106))</f>
        <v>43196.29581397451</v>
      </c>
      <c r="BY106" s="23">
        <f>BY105*IF(Simulation!$D$35="SMPT",1+$E106,IF(Simulation!$D$35="PRIX",1+$B106))</f>
        <v>67035.636269750496</v>
      </c>
      <c r="BZ106" s="5"/>
      <c r="CA106" s="146">
        <v>0</v>
      </c>
      <c r="CB106" s="146">
        <f t="shared" si="41"/>
        <v>4.2999999999999997E-2</v>
      </c>
      <c r="CC106" s="146">
        <f t="shared" si="42"/>
        <v>7.3999999999999996E-2</v>
      </c>
      <c r="CD106" s="146">
        <f t="shared" si="43"/>
        <v>9.0999999999999998E-2</v>
      </c>
      <c r="CE106" s="146">
        <f t="shared" si="43"/>
        <v>3.2000000000000001E-2</v>
      </c>
      <c r="CG106" s="15">
        <v>2058</v>
      </c>
      <c r="CH106" s="317">
        <f t="shared" si="57"/>
        <v>9.1999999999999998E-2</v>
      </c>
      <c r="CI106" s="311">
        <f t="shared" si="25"/>
        <v>6.8000000000000005E-2</v>
      </c>
      <c r="CJ106" s="311">
        <f t="shared" si="26"/>
        <v>5.0000000000000001E-3</v>
      </c>
      <c r="CK106" s="311">
        <f t="shared" si="26"/>
        <v>0.98250000000000004</v>
      </c>
      <c r="CL106" s="313">
        <f t="shared" si="27"/>
        <v>0</v>
      </c>
      <c r="CM106" s="313">
        <v>0</v>
      </c>
      <c r="CN106" s="313">
        <v>0</v>
      </c>
      <c r="CO106" s="318">
        <f t="shared" si="28"/>
        <v>2.4000000000000001E-4</v>
      </c>
    </row>
    <row r="107" spans="1:93" x14ac:dyDescent="0.25">
      <c r="A107" s="15">
        <v>2059</v>
      </c>
      <c r="B107" s="54">
        <f>IF($F$1=1.8%,LOOKUP($A107,Prix!B$6:B$127,Prix!$G$6:$G$127),IF($F$1=1.5%,LOOKUP($A107,Prix!B$6:B$127,Prix!$H$6:$H$127),IF($F$1=1.3%,LOOKUP($A107,Prix!B$6:B$127,Prix!$I$6:$I$127),LOOKUP($A107,Prix!B$6:B$127,Prix!$J$6:$J$127))))</f>
        <v>1.7500000000000002E-2</v>
      </c>
      <c r="C107" s="7">
        <f t="shared" si="59"/>
        <v>1.9002542532500513</v>
      </c>
      <c r="D107" s="5">
        <f>IF($F$1=1.8%,LOOKUP($A107,SMPT!$B$6:$B$127,SMPT!$C$6:$C$127),IF($F$1=1.5%,LOOKUP($A107,SMPT!$B$6:$B$127,SMPT!$D$6:$D$127),IF($F$1=1.3%,LOOKUP($A107,SMPT!$B$6:$B$127,SMPT!$E$6:$E$127),LOOKUP($A107,SMPT!$B$6:$B$127,SMPT!$F$6:$F$127))))</f>
        <v>118405.68634168367</v>
      </c>
      <c r="E107" s="17">
        <f t="shared" si="34"/>
        <v>3.0727500000000019E-2</v>
      </c>
      <c r="F107" s="60">
        <f>IF($F$1=1.8%,LOOKUP($A107,SMIC!$B$6:$B$125,SMIC!$C$6:$C$125),IF($F$1=1.5%,LOOKUP($A107,SMIC!$B$6:$B$125,SMIC!$D$6:$D$125),IF($F$1=1.3%,LOOKUP($A107,SMIC!$B$6:$B$125,SMIC!$E$6:$E$125),LOOKUP($A107,SMIC!$B$6:$B$125,SMIC!$F$6:$F$125))))</f>
        <v>52639.049041646773</v>
      </c>
      <c r="G107" s="153">
        <f t="shared" si="29"/>
        <v>3.2237616986537314</v>
      </c>
      <c r="H107" s="357">
        <f t="shared" si="23"/>
        <v>3.0752603654941923E-2</v>
      </c>
      <c r="I107" s="15">
        <v>2059</v>
      </c>
      <c r="J107" s="13">
        <f t="shared" si="60"/>
        <v>60147.977407946382</v>
      </c>
      <c r="K107" s="65">
        <f t="shared" si="44"/>
        <v>0.17749999999999999</v>
      </c>
      <c r="L107" s="65">
        <f t="shared" si="36"/>
        <v>0.10450000000000001</v>
      </c>
      <c r="M107" s="65">
        <f t="shared" si="37"/>
        <v>7.2999999999999982E-2</v>
      </c>
      <c r="N107" s="65">
        <f t="shared" si="16"/>
        <v>2.3000000000000003E-2</v>
      </c>
      <c r="O107" s="65">
        <f>IF(Simulation!$D$43="Oui",$Q107,0)</f>
        <v>1.9000000000000003E-2</v>
      </c>
      <c r="P107" s="65">
        <f>IF(Simulation!$D$43="Oui",$R107,0)</f>
        <v>4.0000000000000001E-3</v>
      </c>
      <c r="Q107" s="678">
        <f t="shared" si="38"/>
        <v>1.9000000000000003E-2</v>
      </c>
      <c r="R107" s="678">
        <f t="shared" si="38"/>
        <v>4.0000000000000001E-3</v>
      </c>
      <c r="S107" s="56">
        <f>IF($F$1=1.8%,LOOKUP($A107,Sal_valid!$B$6:$B$127,Sal_valid!$C$6:$C$127),IF($F$1=1.5%,LOOKUP($A107,Sal_valid!$B$6:$B$127,Sal_valid!$D$6:$D$127),IF($F$1=1.3%,LOOKUP($A107,Sal_valid!$B$6:$B$127,Sal_valid!$E$6:$E$127),LOOKUP($A107,Sal_valid!$B$6:$B$127,Sal_valid!$F$6:$F$127))))</f>
        <v>4338.2292945419513</v>
      </c>
      <c r="T107" s="76">
        <f>IF(Simulation!$D$33="Prix",Revalo_RB!$D119,Barèmes!$E107)</f>
        <v>1.7500000000000002E-2</v>
      </c>
      <c r="U107" s="76">
        <f>IF(Simulation!$D$34="Prix",Revalo_RB!$H119,Barèmes!$E107)</f>
        <v>1.7500000000000002E-2</v>
      </c>
      <c r="V107" s="56">
        <f>IF($F$1=1.8%,LOOKUP($A107,PSS!$B$6:$B$127,PSS!$C$6:$C$127),IF($F$1=1.5%,LOOKUP($A107,PSS!$B$6:$B$127,PSS!$D$6:$D$127),IF($F$1=1.3%,LOOKUP($A107,PSS!$B$6:$B$127,PSS!$E$6:$E$127),LOOKUP($A107,PSS!$B$6:$B$127,PSS!$F$6:$F$127))))</f>
        <v>125892</v>
      </c>
      <c r="W107" s="56">
        <f>IF($F$1=1.8%,LOOKUP($A107,Smic_AVPF!$B$6:$B$104,Smic_AVPF!$C$6:$C$104),IF($F$1=1.5%,LOOKUP($A107,Smic_AVPF!$B$6:$B$104,Smic_AVPF!$D$6:$D$104),IF($F$1=1.3%,LOOKUP($A107,Smic_AVPF!$B$6:$B$104,Smic_AVPF!$E$6:$E$104),LOOKUP($A107,Smic_AVPF!$B$6:$B$104,Smic_AVPF!$F$6:$F$104))))</f>
        <v>57959.427233885515</v>
      </c>
      <c r="X107" s="56">
        <f>IF(Simulation!$D$32="SMPT",(1+$E107)*X106,IF(Simulation!$D$32="PRIX",Minima!$O56))</f>
        <v>14713.027117395954</v>
      </c>
      <c r="Y107" s="56">
        <f>IF(Simulation!$D$32="SMPT",(1+$E107)*Y106,IF(Simulation!$D$32="PRIX",Minima!$P56))</f>
        <v>16077.312112443838</v>
      </c>
      <c r="Z107" s="56">
        <f t="shared" si="45"/>
        <v>27428.613056399172</v>
      </c>
      <c r="AA107" s="58"/>
      <c r="AB107" s="15">
        <v>2059</v>
      </c>
      <c r="AC107" s="64">
        <f t="shared" si="46"/>
        <v>6.2E-2</v>
      </c>
      <c r="AD107" s="65">
        <f t="shared" si="39"/>
        <v>3.7200000000000004E-2</v>
      </c>
      <c r="AE107" s="65">
        <f t="shared" si="47"/>
        <v>2.4799999999999996E-2</v>
      </c>
      <c r="AF107" s="65">
        <f t="shared" si="48"/>
        <v>0.17</v>
      </c>
      <c r="AG107" s="65">
        <f t="shared" si="40"/>
        <v>0.10200000000000001</v>
      </c>
      <c r="AH107" s="65">
        <f t="shared" si="49"/>
        <v>6.8000000000000005E-2</v>
      </c>
      <c r="AI107" s="66">
        <f t="shared" si="50"/>
        <v>1.27</v>
      </c>
      <c r="AJ107" s="66"/>
      <c r="AK107" s="66"/>
      <c r="AL107" s="65">
        <f t="shared" si="20"/>
        <v>3.4999999999999996E-3</v>
      </c>
      <c r="AM107" s="65">
        <f>IF(Simulation!$D$42="Oui",Barèmes!$AO107,0)</f>
        <v>2.0999999999999999E-3</v>
      </c>
      <c r="AN107" s="65">
        <f>IF(Simulation!$D$42="Oui",Barèmes!$AP107,0)</f>
        <v>1.3999999999999998E-3</v>
      </c>
      <c r="AO107" s="678">
        <f t="shared" si="51"/>
        <v>2.0999999999999999E-3</v>
      </c>
      <c r="AP107" s="678">
        <f t="shared" si="52"/>
        <v>1.3999999999999998E-3</v>
      </c>
      <c r="AQ107" s="65">
        <f t="shared" si="15"/>
        <v>2.1499999999999998E-2</v>
      </c>
      <c r="AR107" s="65">
        <f>IF(Simulation!$D$42="Oui",Barèmes!$AT107,0)</f>
        <v>1.29E-2</v>
      </c>
      <c r="AS107" s="65">
        <f>IF(Simulation!$D$42="Oui",Barèmes!$AU107,0)</f>
        <v>8.6E-3</v>
      </c>
      <c r="AT107" s="678">
        <f t="shared" si="53"/>
        <v>1.29E-2</v>
      </c>
      <c r="AU107" s="678">
        <f t="shared" si="54"/>
        <v>8.6E-3</v>
      </c>
      <c r="AV107" s="65">
        <f t="shared" si="21"/>
        <v>2.7000000000000003E-2</v>
      </c>
      <c r="AW107" s="65">
        <f>IF(Simulation!$D$42="Oui",Barèmes!$AY107,0)</f>
        <v>1.6200000000000003E-2</v>
      </c>
      <c r="AX107" s="65">
        <f>IF(Simulation!$D$42="Oui",Barèmes!$AZ107,0)</f>
        <v>1.0800000000000001E-2</v>
      </c>
      <c r="AY107" s="678">
        <f t="shared" si="55"/>
        <v>1.6200000000000003E-2</v>
      </c>
      <c r="AZ107" s="678">
        <f t="shared" si="56"/>
        <v>1.0800000000000001E-2</v>
      </c>
      <c r="BA107" s="69">
        <f>IF($F$1=1.8%,LOOKUP($A107,'AGIRC-ARRCO'!$B$6:$B$57,'AGIRC-ARRCO'!$C$6:$C$57),IF($F$1=1.5%,LOOKUP($A107,'AGIRC-ARRCO'!$B$6:$B$57,'AGIRC-ARRCO'!$D$6:$D$57),IF($F$1=1.3%,LOOKUP($A107,'AGIRC-ARRCO'!$B$6:$B$57,'AGIRC-ARRCO'!$E$6:$E$57),LOOKUP($A107,'AGIRC-ARRCO'!$B$6:$B$57,'AGIRC-ARRCO'!$F$6:$F$57))))</f>
        <v>39.650700000000001</v>
      </c>
      <c r="BB107" s="69"/>
      <c r="BC107" s="69"/>
      <c r="BD107" s="69">
        <f>IF($F$1=1.8%,LOOKUP($A107,'AGIRC-ARRCO'!$B$6:$B$57,'AGIRC-ARRCO'!$G$6:$G$57),IF($F$1=1.5%,LOOKUP($A107,'AGIRC-ARRCO'!$B$6:$B$57,'AGIRC-ARRCO'!$H$6:$H$57),IF($F$1=1.3%,LOOKUP($A107,'AGIRC-ARRCO'!$B$6:$B$57,'AGIRC-ARRCO'!$I$6:$I$57),LOOKUP($A107,'AGIRC-ARRCO'!$B$6:$B$57,'AGIRC-ARRCO'!$J$6:$J$57))))</f>
        <v>2.5794999999999999</v>
      </c>
      <c r="BE107" s="69"/>
      <c r="BF107" s="69"/>
      <c r="BG107" s="71">
        <f t="shared" si="30"/>
        <v>2.5391666666666666</v>
      </c>
      <c r="BH107" s="71"/>
      <c r="BI107" s="71"/>
      <c r="BJ107" s="18">
        <f t="shared" si="58"/>
        <v>4248.4450212364336</v>
      </c>
      <c r="BL107" s="15">
        <v>2059</v>
      </c>
      <c r="BM107" s="22">
        <f>BM106*IF(Simulation!$D$35="SMPT",1+$E107,IF(Simulation!$D$35="PRIX",1+$B107))</f>
        <v>21916.559626808434</v>
      </c>
      <c r="BN107" s="23">
        <f>BN106*IF(Simulation!$D$35="SMPT",1+$E107,IF(Simulation!$D$35="PRIX",1+$B107))</f>
        <v>28652.136244233949</v>
      </c>
      <c r="BO107" s="23">
        <f>BO106*IF(Simulation!$D$35="SMPT",1+$E107,IF(Simulation!$D$35="PRIX",1+$B107))</f>
        <v>44467.101080128647</v>
      </c>
      <c r="BP107" s="5"/>
      <c r="BQ107" s="146">
        <v>0</v>
      </c>
      <c r="BR107" s="146">
        <v>4.2999999999999997E-2</v>
      </c>
      <c r="BS107" s="146">
        <v>7.3999999999999996E-2</v>
      </c>
      <c r="BT107" s="146">
        <v>9.0999999999999998E-2</v>
      </c>
      <c r="BV107" s="15">
        <v>2059</v>
      </c>
      <c r="BW107" s="22">
        <f>BW106*IF(Simulation!$D$35="SMPT",1+$E107,IF(Simulation!$D$35="PRIX",1+$B107))</f>
        <v>33620.248375626543</v>
      </c>
      <c r="BX107" s="23">
        <f>BX106*IF(Simulation!$D$35="SMPT",1+$E107,IF(Simulation!$D$35="PRIX",1+$B107))</f>
        <v>43952.230990719065</v>
      </c>
      <c r="BY107" s="23">
        <f>BY106*IF(Simulation!$D$35="SMPT",1+$E107,IF(Simulation!$D$35="PRIX",1+$B107))</f>
        <v>68208.759904471139</v>
      </c>
      <c r="BZ107" s="5"/>
      <c r="CA107" s="146">
        <v>0</v>
      </c>
      <c r="CB107" s="146">
        <f t="shared" si="41"/>
        <v>4.2999999999999997E-2</v>
      </c>
      <c r="CC107" s="146">
        <f t="shared" si="42"/>
        <v>7.3999999999999996E-2</v>
      </c>
      <c r="CD107" s="146">
        <f t="shared" si="43"/>
        <v>9.0999999999999998E-2</v>
      </c>
      <c r="CE107" s="146">
        <f t="shared" si="43"/>
        <v>3.2000000000000001E-2</v>
      </c>
      <c r="CG107" s="15">
        <v>2059</v>
      </c>
      <c r="CH107" s="317">
        <f t="shared" si="57"/>
        <v>9.1999999999999998E-2</v>
      </c>
      <c r="CI107" s="311">
        <f t="shared" si="25"/>
        <v>6.8000000000000005E-2</v>
      </c>
      <c r="CJ107" s="311">
        <f t="shared" si="26"/>
        <v>5.0000000000000001E-3</v>
      </c>
      <c r="CK107" s="311">
        <f t="shared" si="26"/>
        <v>0.98250000000000004</v>
      </c>
      <c r="CL107" s="313">
        <f t="shared" si="27"/>
        <v>0</v>
      </c>
      <c r="CM107" s="313">
        <v>0</v>
      </c>
      <c r="CN107" s="313">
        <v>0</v>
      </c>
      <c r="CO107" s="318">
        <f t="shared" si="28"/>
        <v>2.4000000000000001E-4</v>
      </c>
    </row>
    <row r="108" spans="1:93" x14ac:dyDescent="0.25">
      <c r="A108" s="15">
        <v>2060</v>
      </c>
      <c r="B108" s="54">
        <f>IF($F$1=1.8%,LOOKUP($A108,Prix!B$6:B$127,Prix!$G$6:$G$127),IF($F$1=1.5%,LOOKUP($A108,Prix!B$6:B$127,Prix!$H$6:$H$127),IF($F$1=1.3%,LOOKUP($A108,Prix!B$6:B$127,Prix!$I$6:$I$127),LOOKUP($A108,Prix!B$6:B$127,Prix!$J$6:$J$127))))</f>
        <v>1.7500000000000002E-2</v>
      </c>
      <c r="C108" s="7">
        <f t="shared" si="59"/>
        <v>1.9335087026819273</v>
      </c>
      <c r="D108" s="5">
        <f>IF($F$1=1.8%,LOOKUP($A108,SMPT!$B$6:$B$127,SMPT!$C$6:$C$127),IF($F$1=1.5%,LOOKUP($A108,SMPT!$B$6:$B$127,SMPT!$D$6:$D$127),IF($F$1=1.3%,LOOKUP($A108,SMPT!$B$6:$B$127,SMPT!$E$6:$E$127),LOOKUP($A108,SMPT!$B$6:$B$127,SMPT!$F$6:$F$127))))</f>
        <v>122043.99706874776</v>
      </c>
      <c r="E108" s="17">
        <f t="shared" si="34"/>
        <v>3.0727500000000019E-2</v>
      </c>
      <c r="F108" s="60">
        <f>IF($F$1=1.8%,LOOKUP($A108,SMIC!$B$6:$B$125,SMIC!$C$6:$C$125),IF($F$1=1.5%,LOOKUP($A108,SMIC!$B$6:$B$125,SMIC!$D$6:$D$125),IF($F$1=1.3%,LOOKUP($A108,SMIC!$B$6:$B$125,SMIC!$E$6:$E$125),LOOKUP($A108,SMIC!$B$6:$B$125,SMIC!$F$6:$F$125))))</f>
        <v>54256.515421073978</v>
      </c>
      <c r="G108" s="153">
        <f t="shared" si="29"/>
        <v>3.3228198362491144</v>
      </c>
      <c r="H108" s="357">
        <f t="shared" si="23"/>
        <v>3.0692974930893069E-2</v>
      </c>
      <c r="I108" s="15">
        <v>2060</v>
      </c>
      <c r="J108" s="13">
        <f t="shared" si="60"/>
        <v>61996.174383749058</v>
      </c>
      <c r="K108" s="65">
        <f t="shared" si="44"/>
        <v>0.17749999999999999</v>
      </c>
      <c r="L108" s="65">
        <f t="shared" si="36"/>
        <v>0.10450000000000001</v>
      </c>
      <c r="M108" s="65">
        <f t="shared" si="37"/>
        <v>7.2999999999999982E-2</v>
      </c>
      <c r="N108" s="65">
        <f t="shared" si="16"/>
        <v>2.3000000000000003E-2</v>
      </c>
      <c r="O108" s="65">
        <f>IF(Simulation!$D$43="Oui",$Q108,0)</f>
        <v>1.9000000000000003E-2</v>
      </c>
      <c r="P108" s="65">
        <f>IF(Simulation!$D$43="Oui",$R108,0)</f>
        <v>4.0000000000000001E-3</v>
      </c>
      <c r="Q108" s="678">
        <f t="shared" si="38"/>
        <v>1.9000000000000003E-2</v>
      </c>
      <c r="R108" s="678">
        <f t="shared" si="38"/>
        <v>4.0000000000000001E-3</v>
      </c>
      <c r="S108" s="56">
        <f>IF($F$1=1.8%,LOOKUP($A108,Sal_valid!$B$6:$B$127,Sal_valid!$C$6:$C$127),IF($F$1=1.5%,LOOKUP($A108,Sal_valid!$B$6:$B$127,Sal_valid!$D$6:$D$127),IF($F$1=1.3%,LOOKUP($A108,Sal_valid!$B$6:$B$127,Sal_valid!$E$6:$E$127),LOOKUP($A108,Sal_valid!$B$6:$B$127,Sal_valid!$F$6:$F$127))))</f>
        <v>4471.5322351899886</v>
      </c>
      <c r="T108" s="76">
        <f>IF(Simulation!$D$33="Prix",Revalo_RB!$D120,Barèmes!$E108)</f>
        <v>1.7500000000000002E-2</v>
      </c>
      <c r="U108" s="76">
        <f>IF(Simulation!$D$34="Prix",Revalo_RB!$H120,Barèmes!$E108)</f>
        <v>1.7500000000000002E-2</v>
      </c>
      <c r="V108" s="56">
        <f>IF($F$1=1.8%,LOOKUP($A108,PSS!$B$6:$B$127,PSS!$C$6:$C$127),IF($F$1=1.5%,LOOKUP($A108,PSS!$B$6:$B$127,PSS!$D$6:$D$127),IF($F$1=1.3%,LOOKUP($A108,PSS!$B$6:$B$127,PSS!$E$6:$E$127),LOOKUP($A108,PSS!$B$6:$B$127,PSS!$F$6:$F$127))))</f>
        <v>129756</v>
      </c>
      <c r="W108" s="56">
        <f>IF($F$1=1.8%,LOOKUP($A108,Smic_AVPF!$B$6:$B$104,Smic_AVPF!$C$6:$C$104),IF($F$1=1.5%,LOOKUP($A108,Smic_AVPF!$B$6:$B$104,Smic_AVPF!$D$6:$D$104),IF($F$1=1.3%,LOOKUP($A108,Smic_AVPF!$B$6:$B$104,Smic_AVPF!$E$6:$E$104),LOOKUP($A108,Smic_AVPF!$B$6:$B$104,Smic_AVPF!$F$6:$F$104))))</f>
        <v>59740.375534214734</v>
      </c>
      <c r="X108" s="56">
        <f>IF(Simulation!$D$32="SMPT",(1+$E108)*X107,IF(Simulation!$D$32="PRIX",Minima!$O57))</f>
        <v>14970.505091950385</v>
      </c>
      <c r="Y108" s="56">
        <f>IF(Simulation!$D$32="SMPT",(1+$E108)*Y107,IF(Simulation!$D$32="PRIX",Minima!$P57))</f>
        <v>16358.665074411607</v>
      </c>
      <c r="Z108" s="56">
        <f t="shared" si="45"/>
        <v>27908.613784886158</v>
      </c>
      <c r="AA108" s="58"/>
      <c r="AB108" s="15">
        <v>2060</v>
      </c>
      <c r="AC108" s="64">
        <f t="shared" si="46"/>
        <v>6.2E-2</v>
      </c>
      <c r="AD108" s="65">
        <f t="shared" si="39"/>
        <v>3.7200000000000004E-2</v>
      </c>
      <c r="AE108" s="65">
        <f t="shared" si="47"/>
        <v>2.4799999999999996E-2</v>
      </c>
      <c r="AF108" s="65">
        <f t="shared" si="48"/>
        <v>0.17</v>
      </c>
      <c r="AG108" s="65">
        <f t="shared" si="40"/>
        <v>0.10200000000000001</v>
      </c>
      <c r="AH108" s="65">
        <f t="shared" si="49"/>
        <v>6.8000000000000005E-2</v>
      </c>
      <c r="AI108" s="66">
        <f t="shared" si="50"/>
        <v>1.27</v>
      </c>
      <c r="AJ108" s="66"/>
      <c r="AK108" s="66"/>
      <c r="AL108" s="65">
        <f t="shared" si="20"/>
        <v>3.4999999999999996E-3</v>
      </c>
      <c r="AM108" s="65">
        <f>IF(Simulation!$D$42="Oui",Barèmes!$AO108,0)</f>
        <v>2.0999999999999999E-3</v>
      </c>
      <c r="AN108" s="65">
        <f>IF(Simulation!$D$42="Oui",Barèmes!$AP108,0)</f>
        <v>1.3999999999999998E-3</v>
      </c>
      <c r="AO108" s="678">
        <f t="shared" si="51"/>
        <v>2.0999999999999999E-3</v>
      </c>
      <c r="AP108" s="678">
        <f t="shared" si="52"/>
        <v>1.3999999999999998E-3</v>
      </c>
      <c r="AQ108" s="65">
        <f t="shared" si="15"/>
        <v>2.1499999999999998E-2</v>
      </c>
      <c r="AR108" s="65">
        <f>IF(Simulation!$D$42="Oui",Barèmes!$AT108,0)</f>
        <v>1.29E-2</v>
      </c>
      <c r="AS108" s="65">
        <f>IF(Simulation!$D$42="Oui",Barèmes!$AU108,0)</f>
        <v>8.6E-3</v>
      </c>
      <c r="AT108" s="678">
        <f t="shared" si="53"/>
        <v>1.29E-2</v>
      </c>
      <c r="AU108" s="678">
        <f t="shared" si="54"/>
        <v>8.6E-3</v>
      </c>
      <c r="AV108" s="65">
        <f t="shared" si="21"/>
        <v>2.7000000000000003E-2</v>
      </c>
      <c r="AW108" s="65">
        <f>IF(Simulation!$D$42="Oui",Barèmes!$AY108,0)</f>
        <v>1.6200000000000003E-2</v>
      </c>
      <c r="AX108" s="65">
        <f>IF(Simulation!$D$42="Oui",Barèmes!$AZ108,0)</f>
        <v>1.0800000000000001E-2</v>
      </c>
      <c r="AY108" s="678">
        <f t="shared" si="55"/>
        <v>1.6200000000000003E-2</v>
      </c>
      <c r="AZ108" s="678">
        <f t="shared" si="56"/>
        <v>1.0800000000000001E-2</v>
      </c>
      <c r="BA108" s="69">
        <f>IF($F$1=1.8%,LOOKUP($A108,'AGIRC-ARRCO'!$B$6:$B$57,'AGIRC-ARRCO'!$C$6:$C$57),IF($F$1=1.5%,LOOKUP($A108,'AGIRC-ARRCO'!$B$6:$B$57,'AGIRC-ARRCO'!$D$6:$D$57),IF($F$1=1.3%,LOOKUP($A108,'AGIRC-ARRCO'!$B$6:$B$57,'AGIRC-ARRCO'!$E$6:$E$57),LOOKUP($A108,'AGIRC-ARRCO'!$B$6:$B$57,'AGIRC-ARRCO'!$F$6:$F$57))))</f>
        <v>40.408000000000001</v>
      </c>
      <c r="BB108" s="69"/>
      <c r="BC108" s="69"/>
      <c r="BD108" s="69">
        <f>IF($F$1=1.8%,LOOKUP($A108,'AGIRC-ARRCO'!$B$6:$B$57,'AGIRC-ARRCO'!$G$6:$G$57),IF($F$1=1.5%,LOOKUP($A108,'AGIRC-ARRCO'!$B$6:$B$57,'AGIRC-ARRCO'!$H$6:$H$57),IF($F$1=1.3%,LOOKUP($A108,'AGIRC-ARRCO'!$B$6:$B$57,'AGIRC-ARRCO'!$I$6:$I$57),LOOKUP($A108,'AGIRC-ARRCO'!$B$6:$B$57,'AGIRC-ARRCO'!$J$6:$J$57))))</f>
        <v>2.6288</v>
      </c>
      <c r="BE108" s="69"/>
      <c r="BF108" s="69"/>
      <c r="BG108" s="71">
        <f t="shared" si="30"/>
        <v>2.5877166666666667</v>
      </c>
      <c r="BH108" s="71"/>
      <c r="BI108" s="71"/>
      <c r="BJ108" s="18">
        <f t="shared" si="58"/>
        <v>4329.6422840962732</v>
      </c>
      <c r="BL108" s="15">
        <v>2060</v>
      </c>
      <c r="BM108" s="22">
        <f>BM107*IF(Simulation!$D$35="SMPT",1+$E108,IF(Simulation!$D$35="PRIX",1+$B108))</f>
        <v>22300.099420277584</v>
      </c>
      <c r="BN108" s="23">
        <f>BN107*IF(Simulation!$D$35="SMPT",1+$E108,IF(Simulation!$D$35="PRIX",1+$B108))</f>
        <v>29153.548628508044</v>
      </c>
      <c r="BO108" s="23">
        <f>BO107*IF(Simulation!$D$35="SMPT",1+$E108,IF(Simulation!$D$35="PRIX",1+$B108))</f>
        <v>45245.275349030904</v>
      </c>
      <c r="BP108" s="5"/>
      <c r="BQ108" s="146">
        <v>0</v>
      </c>
      <c r="BR108" s="146">
        <v>4.2999999999999997E-2</v>
      </c>
      <c r="BS108" s="146">
        <v>7.3999999999999996E-2</v>
      </c>
      <c r="BT108" s="146">
        <v>9.0999999999999998E-2</v>
      </c>
      <c r="BV108" s="15">
        <v>2060</v>
      </c>
      <c r="BW108" s="22">
        <f>BW107*IF(Simulation!$D$35="SMPT",1+$E108,IF(Simulation!$D$35="PRIX",1+$B108))</f>
        <v>34208.602722200012</v>
      </c>
      <c r="BX108" s="23">
        <f>BX107*IF(Simulation!$D$35="SMPT",1+$E108,IF(Simulation!$D$35="PRIX",1+$B108))</f>
        <v>44721.395033056651</v>
      </c>
      <c r="BY108" s="23">
        <f>BY107*IF(Simulation!$D$35="SMPT",1+$E108,IF(Simulation!$D$35="PRIX",1+$B108))</f>
        <v>69402.413202799391</v>
      </c>
      <c r="BZ108" s="5"/>
      <c r="CA108" s="146">
        <v>0</v>
      </c>
      <c r="CB108" s="146">
        <f t="shared" si="41"/>
        <v>4.2999999999999997E-2</v>
      </c>
      <c r="CC108" s="146">
        <f t="shared" si="42"/>
        <v>7.3999999999999996E-2</v>
      </c>
      <c r="CD108" s="146">
        <f t="shared" si="43"/>
        <v>9.0999999999999998E-2</v>
      </c>
      <c r="CE108" s="146">
        <f t="shared" si="43"/>
        <v>3.2000000000000001E-2</v>
      </c>
      <c r="CG108" s="15">
        <v>2060</v>
      </c>
      <c r="CH108" s="317">
        <f t="shared" si="57"/>
        <v>9.1999999999999998E-2</v>
      </c>
      <c r="CI108" s="311">
        <f t="shared" si="25"/>
        <v>6.8000000000000005E-2</v>
      </c>
      <c r="CJ108" s="311">
        <f t="shared" si="26"/>
        <v>5.0000000000000001E-3</v>
      </c>
      <c r="CK108" s="311">
        <f t="shared" si="26"/>
        <v>0.98250000000000004</v>
      </c>
      <c r="CL108" s="313">
        <f t="shared" si="27"/>
        <v>0</v>
      </c>
      <c r="CM108" s="313">
        <v>0</v>
      </c>
      <c r="CN108" s="313">
        <v>0</v>
      </c>
      <c r="CO108" s="318">
        <f t="shared" si="28"/>
        <v>2.4000000000000001E-4</v>
      </c>
    </row>
    <row r="109" spans="1:93" x14ac:dyDescent="0.25">
      <c r="A109" s="15">
        <v>2061</v>
      </c>
      <c r="B109" s="54">
        <f>IF($F$1=1.8%,LOOKUP($A109,Prix!B$6:B$127,Prix!$G$6:$G$127),IF($F$1=1.5%,LOOKUP($A109,Prix!B$6:B$127,Prix!$H$6:$H$127),IF($F$1=1.3%,LOOKUP($A109,Prix!B$6:B$127,Prix!$I$6:$I$127),LOOKUP($A109,Prix!B$6:B$127,Prix!$J$6:$J$127))))</f>
        <v>1.7500000000000002E-2</v>
      </c>
      <c r="C109" s="7">
        <f t="shared" si="59"/>
        <v>1.9673451049788613</v>
      </c>
      <c r="D109" s="5">
        <f>IF($F$1=1.8%,LOOKUP($A109,SMPT!$B$6:$B$127,SMPT!$C$6:$C$127),IF($F$1=1.5%,LOOKUP($A109,SMPT!$B$6:$B$127,SMPT!$D$6:$D$127),IF($F$1=1.3%,LOOKUP($A109,SMPT!$B$6:$B$127,SMPT!$E$6:$E$127),LOOKUP($A109,SMPT!$B$6:$B$127,SMPT!$F$6:$F$127))))</f>
        <v>125794.10398867771</v>
      </c>
      <c r="E109" s="17">
        <f t="shared" si="34"/>
        <v>3.0727500000000019E-2</v>
      </c>
      <c r="F109" s="60">
        <f>IF($F$1=1.8%,LOOKUP($A109,SMIC!$B$6:$B$125,SMIC!$C$6:$C$125),IF($F$1=1.5%,LOOKUP($A109,SMIC!$B$6:$B$125,SMIC!$D$6:$D$125),IF($F$1=1.3%,LOOKUP($A109,SMIC!$B$6:$B$125,SMIC!$E$6:$E$125),LOOKUP($A109,SMIC!$B$6:$B$125,SMIC!$F$6:$F$125))))</f>
        <v>55923.682498675029</v>
      </c>
      <c r="G109" s="153">
        <f t="shared" si="29"/>
        <v>3.4249217827674592</v>
      </c>
      <c r="H109" s="357">
        <f t="shared" si="23"/>
        <v>3.0703782484047037E-2</v>
      </c>
      <c r="I109" s="15">
        <v>2061</v>
      </c>
      <c r="J109" s="13">
        <f t="shared" si="60"/>
        <v>63901.161832125705</v>
      </c>
      <c r="K109" s="65">
        <f t="shared" si="44"/>
        <v>0.17749999999999999</v>
      </c>
      <c r="L109" s="65">
        <f t="shared" si="36"/>
        <v>0.10450000000000001</v>
      </c>
      <c r="M109" s="65">
        <f t="shared" si="37"/>
        <v>7.2999999999999982E-2</v>
      </c>
      <c r="N109" s="65">
        <f t="shared" si="16"/>
        <v>2.3000000000000003E-2</v>
      </c>
      <c r="O109" s="65">
        <f>IF(Simulation!$D$43="Oui",$Q109,0)</f>
        <v>1.9000000000000003E-2</v>
      </c>
      <c r="P109" s="65">
        <f>IF(Simulation!$D$43="Oui",$R109,0)</f>
        <v>4.0000000000000001E-3</v>
      </c>
      <c r="Q109" s="678">
        <f t="shared" si="38"/>
        <v>1.9000000000000003E-2</v>
      </c>
      <c r="R109" s="678">
        <f t="shared" si="38"/>
        <v>4.0000000000000001E-3</v>
      </c>
      <c r="S109" s="56">
        <f>IF($F$1=1.8%,LOOKUP($A109,Sal_valid!$B$6:$B$127,Sal_valid!$C$6:$C$127),IF($F$1=1.5%,LOOKUP($A109,Sal_valid!$B$6:$B$127,Sal_valid!$D$6:$D$127),IF($F$1=1.3%,LOOKUP($A109,Sal_valid!$B$6:$B$127,Sal_valid!$E$6:$E$127),LOOKUP($A109,Sal_valid!$B$6:$B$127,Sal_valid!$F$6:$F$127))))</f>
        <v>4608.9312419467888</v>
      </c>
      <c r="T109" s="76">
        <f>IF(Simulation!$D$33="Prix",Revalo_RB!$D121,Barèmes!$E109)</f>
        <v>1.7500000000000002E-2</v>
      </c>
      <c r="U109" s="76">
        <f>IF(Simulation!$D$34="Prix",Revalo_RB!$H121,Barèmes!$E109)</f>
        <v>1.7500000000000002E-2</v>
      </c>
      <c r="V109" s="56">
        <f>IF($F$1=1.8%,LOOKUP($A109,PSS!$B$6:$B$127,PSS!$C$6:$C$127),IF($F$1=1.5%,LOOKUP($A109,PSS!$B$6:$B$127,PSS!$D$6:$D$127),IF($F$1=1.3%,LOOKUP($A109,PSS!$B$6:$B$127,PSS!$E$6:$E$127),LOOKUP($A109,PSS!$B$6:$B$127,PSS!$F$6:$F$127))))</f>
        <v>133740</v>
      </c>
      <c r="W109" s="56">
        <f>IF($F$1=1.8%,LOOKUP($A109,Smic_AVPF!$B$6:$B$104,Smic_AVPF!$C$6:$C$104),IF($F$1=1.5%,LOOKUP($A109,Smic_AVPF!$B$6:$B$104,Smic_AVPF!$D$6:$D$104),IF($F$1=1.3%,LOOKUP($A109,Smic_AVPF!$B$6:$B$104,Smic_AVPF!$E$6:$E$104),LOOKUP($A109,Smic_AVPF!$B$6:$B$104,Smic_AVPF!$F$6:$F$104))))</f>
        <v>61576.047923442311</v>
      </c>
      <c r="X109" s="56">
        <f>IF(Simulation!$D$32="SMPT",(1+$E109)*X108,IF(Simulation!$D$32="PRIX",Minima!$O58))</f>
        <v>15232.488931059517</v>
      </c>
      <c r="Y109" s="56">
        <f>IF(Simulation!$D$32="SMPT",(1+$E109)*Y108,IF(Simulation!$D$32="PRIX",Minima!$P58))</f>
        <v>16644.941713213811</v>
      </c>
      <c r="Z109" s="56">
        <f t="shared" si="45"/>
        <v>28397.014526121671</v>
      </c>
      <c r="AA109" s="58"/>
      <c r="AB109" s="15">
        <v>2061</v>
      </c>
      <c r="AC109" s="64">
        <f t="shared" si="46"/>
        <v>6.2E-2</v>
      </c>
      <c r="AD109" s="65">
        <f t="shared" si="39"/>
        <v>3.7200000000000004E-2</v>
      </c>
      <c r="AE109" s="65">
        <f t="shared" si="47"/>
        <v>2.4799999999999996E-2</v>
      </c>
      <c r="AF109" s="65">
        <f t="shared" si="48"/>
        <v>0.17</v>
      </c>
      <c r="AG109" s="65">
        <f t="shared" si="40"/>
        <v>0.10200000000000001</v>
      </c>
      <c r="AH109" s="65">
        <f t="shared" si="49"/>
        <v>6.8000000000000005E-2</v>
      </c>
      <c r="AI109" s="66">
        <f t="shared" si="50"/>
        <v>1.27</v>
      </c>
      <c r="AJ109" s="66"/>
      <c r="AK109" s="66"/>
      <c r="AL109" s="65">
        <f t="shared" si="20"/>
        <v>3.4999999999999996E-3</v>
      </c>
      <c r="AM109" s="65">
        <f>IF(Simulation!$D$42="Oui",Barèmes!$AO109,0)</f>
        <v>2.0999999999999999E-3</v>
      </c>
      <c r="AN109" s="65">
        <f>IF(Simulation!$D$42="Oui",Barèmes!$AP109,0)</f>
        <v>1.3999999999999998E-3</v>
      </c>
      <c r="AO109" s="678">
        <f t="shared" si="51"/>
        <v>2.0999999999999999E-3</v>
      </c>
      <c r="AP109" s="678">
        <f t="shared" si="52"/>
        <v>1.3999999999999998E-3</v>
      </c>
      <c r="AQ109" s="65">
        <f t="shared" si="15"/>
        <v>2.1499999999999998E-2</v>
      </c>
      <c r="AR109" s="65">
        <f>IF(Simulation!$D$42="Oui",Barèmes!$AT109,0)</f>
        <v>1.29E-2</v>
      </c>
      <c r="AS109" s="65">
        <f>IF(Simulation!$D$42="Oui",Barèmes!$AU109,0)</f>
        <v>8.6E-3</v>
      </c>
      <c r="AT109" s="678">
        <f t="shared" si="53"/>
        <v>1.29E-2</v>
      </c>
      <c r="AU109" s="678">
        <f t="shared" si="54"/>
        <v>8.6E-3</v>
      </c>
      <c r="AV109" s="65">
        <f t="shared" si="21"/>
        <v>2.7000000000000003E-2</v>
      </c>
      <c r="AW109" s="65">
        <f>IF(Simulation!$D$42="Oui",Barèmes!$AY109,0)</f>
        <v>1.6200000000000003E-2</v>
      </c>
      <c r="AX109" s="65">
        <f>IF(Simulation!$D$42="Oui",Barèmes!$AZ109,0)</f>
        <v>1.0800000000000001E-2</v>
      </c>
      <c r="AY109" s="678">
        <f t="shared" si="55"/>
        <v>1.6200000000000003E-2</v>
      </c>
      <c r="AZ109" s="678">
        <f t="shared" si="56"/>
        <v>1.0800000000000001E-2</v>
      </c>
      <c r="BA109" s="69">
        <f>IF($F$1=1.8%,LOOKUP($A109,'AGIRC-ARRCO'!$B$6:$B$57,'AGIRC-ARRCO'!$C$6:$C$57),IF($F$1=1.5%,LOOKUP($A109,'AGIRC-ARRCO'!$B$6:$B$57,'AGIRC-ARRCO'!$D$6:$D$57),IF($F$1=1.3%,LOOKUP($A109,'AGIRC-ARRCO'!$B$6:$B$57,'AGIRC-ARRCO'!$E$6:$E$57),LOOKUP($A109,'AGIRC-ARRCO'!$B$6:$B$57,'AGIRC-ARRCO'!$F$6:$F$57))))</f>
        <v>41.1798</v>
      </c>
      <c r="BB109" s="69"/>
      <c r="BC109" s="69"/>
      <c r="BD109" s="69">
        <f>IF($F$1=1.8%,LOOKUP($A109,'AGIRC-ARRCO'!$B$6:$B$57,'AGIRC-ARRCO'!$G$6:$G$57),IF($F$1=1.5%,LOOKUP($A109,'AGIRC-ARRCO'!$B$6:$B$57,'AGIRC-ARRCO'!$H$6:$H$57),IF($F$1=1.3%,LOOKUP($A109,'AGIRC-ARRCO'!$B$6:$B$57,'AGIRC-ARRCO'!$I$6:$I$57),LOOKUP($A109,'AGIRC-ARRCO'!$B$6:$B$57,'AGIRC-ARRCO'!$J$6:$J$57))))</f>
        <v>2.6791</v>
      </c>
      <c r="BE109" s="69"/>
      <c r="BF109" s="69"/>
      <c r="BG109" s="71">
        <f t="shared" si="30"/>
        <v>2.6371833333333337</v>
      </c>
      <c r="BH109" s="71"/>
      <c r="BI109" s="71"/>
      <c r="BJ109" s="18">
        <f t="shared" si="58"/>
        <v>4412.4865502595576</v>
      </c>
      <c r="BL109" s="15">
        <v>2061</v>
      </c>
      <c r="BM109" s="22">
        <f>BM108*IF(Simulation!$D$35="SMPT",1+$E109,IF(Simulation!$D$35="PRIX",1+$B109))</f>
        <v>22690.351160132443</v>
      </c>
      <c r="BN109" s="23">
        <f>BN108*IF(Simulation!$D$35="SMPT",1+$E109,IF(Simulation!$D$35="PRIX",1+$B109))</f>
        <v>29663.735729506938</v>
      </c>
      <c r="BO109" s="23">
        <f>BO108*IF(Simulation!$D$35="SMPT",1+$E109,IF(Simulation!$D$35="PRIX",1+$B109))</f>
        <v>46037.067667638948</v>
      </c>
      <c r="BP109" s="5"/>
      <c r="BQ109" s="146">
        <v>0</v>
      </c>
      <c r="BR109" s="146">
        <v>4.2999999999999997E-2</v>
      </c>
      <c r="BS109" s="146">
        <v>7.3999999999999996E-2</v>
      </c>
      <c r="BT109" s="146">
        <v>9.0999999999999998E-2</v>
      </c>
      <c r="BV109" s="15">
        <v>2061</v>
      </c>
      <c r="BW109" s="22">
        <f>BW108*IF(Simulation!$D$35="SMPT",1+$E109,IF(Simulation!$D$35="PRIX",1+$B109))</f>
        <v>34807.253269838511</v>
      </c>
      <c r="BX109" s="23">
        <f>BX108*IF(Simulation!$D$35="SMPT",1+$E109,IF(Simulation!$D$35="PRIX",1+$B109))</f>
        <v>45504.019446135149</v>
      </c>
      <c r="BY109" s="23">
        <f>BY108*IF(Simulation!$D$35="SMPT",1+$E109,IF(Simulation!$D$35="PRIX",1+$B109))</f>
        <v>70616.955433848387</v>
      </c>
      <c r="BZ109" s="5"/>
      <c r="CA109" s="146">
        <v>0</v>
      </c>
      <c r="CB109" s="146">
        <f t="shared" si="41"/>
        <v>4.2999999999999997E-2</v>
      </c>
      <c r="CC109" s="146">
        <f t="shared" si="42"/>
        <v>7.3999999999999996E-2</v>
      </c>
      <c r="CD109" s="146">
        <f t="shared" si="43"/>
        <v>9.0999999999999998E-2</v>
      </c>
      <c r="CE109" s="146">
        <f t="shared" si="43"/>
        <v>3.2000000000000001E-2</v>
      </c>
      <c r="CG109" s="15">
        <v>2061</v>
      </c>
      <c r="CH109" s="317">
        <f t="shared" si="57"/>
        <v>9.1999999999999998E-2</v>
      </c>
      <c r="CI109" s="311">
        <f t="shared" si="25"/>
        <v>6.8000000000000005E-2</v>
      </c>
      <c r="CJ109" s="311">
        <f t="shared" si="26"/>
        <v>5.0000000000000001E-3</v>
      </c>
      <c r="CK109" s="311">
        <f t="shared" si="26"/>
        <v>0.98250000000000004</v>
      </c>
      <c r="CL109" s="313">
        <f t="shared" si="27"/>
        <v>0</v>
      </c>
      <c r="CM109" s="313">
        <v>0</v>
      </c>
      <c r="CN109" s="313">
        <v>0</v>
      </c>
      <c r="CO109" s="318">
        <f t="shared" si="28"/>
        <v>2.4000000000000001E-4</v>
      </c>
    </row>
    <row r="110" spans="1:93" x14ac:dyDescent="0.25">
      <c r="A110" s="15">
        <v>2062</v>
      </c>
      <c r="B110" s="54">
        <f>IF($F$1=1.8%,LOOKUP($A110,Prix!B$6:B$127,Prix!$G$6:$G$127),IF($F$1=1.5%,LOOKUP($A110,Prix!B$6:B$127,Prix!$H$6:$H$127),IF($F$1=1.3%,LOOKUP($A110,Prix!B$6:B$127,Prix!$I$6:$I$127),LOOKUP($A110,Prix!B$6:B$127,Prix!$J$6:$J$127))))</f>
        <v>1.7500000000000002E-2</v>
      </c>
      <c r="C110" s="7">
        <f t="shared" si="59"/>
        <v>2.0017736443159917</v>
      </c>
      <c r="D110" s="5">
        <f>IF($F$1=1.8%,LOOKUP($A110,SMPT!$B$6:$B$127,SMPT!$C$6:$C$127),IF($F$1=1.5%,LOOKUP($A110,SMPT!$B$6:$B$127,SMPT!$D$6:$D$127),IF($F$1=1.3%,LOOKUP($A110,SMPT!$B$6:$B$127,SMPT!$E$6:$E$127),LOOKUP($A110,SMPT!$B$6:$B$127,SMPT!$F$6:$F$127))))</f>
        <v>129659.44231898981</v>
      </c>
      <c r="E110" s="17">
        <f t="shared" si="34"/>
        <v>3.0727500000000019E-2</v>
      </c>
      <c r="F110" s="60">
        <f>IF($F$1=1.8%,LOOKUP($A110,SMIC!$B$6:$B$125,SMIC!$C$6:$C$125),IF($F$1=1.5%,LOOKUP($A110,SMIC!$B$6:$B$125,SMIC!$D$6:$D$125),IF($F$1=1.3%,LOOKUP($A110,SMIC!$B$6:$B$125,SMIC!$E$6:$E$125),LOOKUP($A110,SMIC!$B$6:$B$125,SMIC!$F$6:$F$125))))</f>
        <v>57642.077452653059</v>
      </c>
      <c r="G110" s="153">
        <f t="shared" si="29"/>
        <v>3.5301610668474459</v>
      </c>
      <c r="H110" s="357">
        <f t="shared" si="23"/>
        <v>3.0686406460296078E-2</v>
      </c>
      <c r="I110" s="15">
        <v>2062</v>
      </c>
      <c r="J110" s="13">
        <f t="shared" si="60"/>
        <v>65864.684782322336</v>
      </c>
      <c r="K110" s="65">
        <f t="shared" si="44"/>
        <v>0.17749999999999999</v>
      </c>
      <c r="L110" s="65">
        <f t="shared" si="36"/>
        <v>0.10450000000000001</v>
      </c>
      <c r="M110" s="65">
        <f t="shared" si="37"/>
        <v>7.2999999999999982E-2</v>
      </c>
      <c r="N110" s="65">
        <f t="shared" si="16"/>
        <v>2.3000000000000003E-2</v>
      </c>
      <c r="O110" s="65">
        <f>IF(Simulation!$D$43="Oui",$Q110,0)</f>
        <v>1.9000000000000003E-2</v>
      </c>
      <c r="P110" s="65">
        <f>IF(Simulation!$D$43="Oui",$R110,0)</f>
        <v>4.0000000000000001E-3</v>
      </c>
      <c r="Q110" s="678">
        <f t="shared" si="38"/>
        <v>1.9000000000000003E-2</v>
      </c>
      <c r="R110" s="678">
        <f t="shared" si="38"/>
        <v>4.0000000000000001E-3</v>
      </c>
      <c r="S110" s="56">
        <f>IF($F$1=1.8%,LOOKUP($A110,Sal_valid!$B$6:$B$127,Sal_valid!$C$6:$C$127),IF($F$1=1.5%,LOOKUP($A110,Sal_valid!$B$6:$B$127,Sal_valid!$D$6:$D$127),IF($F$1=1.3%,LOOKUP($A110,Sal_valid!$B$6:$B$127,Sal_valid!$E$6:$E$127),LOOKUP($A110,Sal_valid!$B$6:$B$127,Sal_valid!$F$6:$F$127))))</f>
        <v>4750.5521766837082</v>
      </c>
      <c r="T110" s="76">
        <f>IF(Simulation!$D$33="Prix",Revalo_RB!$D122,Barèmes!$E110)</f>
        <v>1.7500000000000002E-2</v>
      </c>
      <c r="U110" s="76">
        <f>IF(Simulation!$D$34="Prix",Revalo_RB!$H122,Barèmes!$E110)</f>
        <v>1.7500000000000002E-2</v>
      </c>
      <c r="V110" s="56">
        <f>IF($F$1=1.8%,LOOKUP($A110,PSS!$B$6:$B$127,PSS!$C$6:$C$127),IF($F$1=1.5%,LOOKUP($A110,PSS!$B$6:$B$127,PSS!$D$6:$D$127),IF($F$1=1.3%,LOOKUP($A110,PSS!$B$6:$B$127,PSS!$E$6:$E$127),LOOKUP($A110,PSS!$B$6:$B$127,PSS!$F$6:$F$127))))</f>
        <v>137844</v>
      </c>
      <c r="W110" s="56">
        <f>IF($F$1=1.8%,LOOKUP($A110,Smic_AVPF!$B$6:$B$104,Smic_AVPF!$C$6:$C$104),IF($F$1=1.5%,LOOKUP($A110,Smic_AVPF!$B$6:$B$104,Smic_AVPF!$D$6:$D$104),IF($F$1=1.3%,LOOKUP($A110,Smic_AVPF!$B$6:$B$104,Smic_AVPF!$E$6:$E$104),LOOKUP($A110,Smic_AVPF!$B$6:$B$104,Smic_AVPF!$F$6:$F$104))))</f>
        <v>63468.125936009877</v>
      </c>
      <c r="X110" s="56">
        <f>IF(Simulation!$D$32="SMPT",(1+$E110)*X109,IF(Simulation!$D$32="PRIX",Minima!$O59))</f>
        <v>15499.05748735306</v>
      </c>
      <c r="Y110" s="56">
        <f>IF(Simulation!$D$32="SMPT",(1+$E110)*Y109,IF(Simulation!$D$32="PRIX",Minima!$P59))</f>
        <v>16936.228193195053</v>
      </c>
      <c r="Z110" s="56">
        <f t="shared" si="45"/>
        <v>28893.9622803288</v>
      </c>
      <c r="AA110" s="58"/>
      <c r="AB110" s="15">
        <v>2062</v>
      </c>
      <c r="AC110" s="64">
        <f t="shared" si="46"/>
        <v>6.2E-2</v>
      </c>
      <c r="AD110" s="65">
        <f t="shared" si="39"/>
        <v>3.7200000000000004E-2</v>
      </c>
      <c r="AE110" s="65">
        <f t="shared" si="47"/>
        <v>2.4799999999999996E-2</v>
      </c>
      <c r="AF110" s="65">
        <f t="shared" si="48"/>
        <v>0.17</v>
      </c>
      <c r="AG110" s="65">
        <f t="shared" si="40"/>
        <v>0.10200000000000001</v>
      </c>
      <c r="AH110" s="65">
        <f t="shared" si="49"/>
        <v>6.8000000000000005E-2</v>
      </c>
      <c r="AI110" s="66">
        <f t="shared" si="50"/>
        <v>1.27</v>
      </c>
      <c r="AJ110" s="66"/>
      <c r="AK110" s="66"/>
      <c r="AL110" s="65">
        <f t="shared" si="20"/>
        <v>3.4999999999999996E-3</v>
      </c>
      <c r="AM110" s="65">
        <f>IF(Simulation!$D$42="Oui",Barèmes!$AO110,0)</f>
        <v>2.0999999999999999E-3</v>
      </c>
      <c r="AN110" s="65">
        <f>IF(Simulation!$D$42="Oui",Barèmes!$AP110,0)</f>
        <v>1.3999999999999998E-3</v>
      </c>
      <c r="AO110" s="678">
        <f t="shared" si="51"/>
        <v>2.0999999999999999E-3</v>
      </c>
      <c r="AP110" s="678">
        <f t="shared" si="52"/>
        <v>1.3999999999999998E-3</v>
      </c>
      <c r="AQ110" s="65">
        <f t="shared" si="15"/>
        <v>2.1499999999999998E-2</v>
      </c>
      <c r="AR110" s="65">
        <f>IF(Simulation!$D$42="Oui",Barèmes!$AT110,0)</f>
        <v>1.29E-2</v>
      </c>
      <c r="AS110" s="65">
        <f>IF(Simulation!$D$42="Oui",Barèmes!$AU110,0)</f>
        <v>8.6E-3</v>
      </c>
      <c r="AT110" s="678">
        <f t="shared" si="53"/>
        <v>1.29E-2</v>
      </c>
      <c r="AU110" s="678">
        <f t="shared" si="54"/>
        <v>8.6E-3</v>
      </c>
      <c r="AV110" s="65">
        <f t="shared" si="21"/>
        <v>2.7000000000000003E-2</v>
      </c>
      <c r="AW110" s="65">
        <f>IF(Simulation!$D$42="Oui",Barèmes!$AY110,0)</f>
        <v>1.6200000000000003E-2</v>
      </c>
      <c r="AX110" s="65">
        <f>IF(Simulation!$D$42="Oui",Barèmes!$AZ110,0)</f>
        <v>1.0800000000000001E-2</v>
      </c>
      <c r="AY110" s="678">
        <f t="shared" si="55"/>
        <v>1.6200000000000003E-2</v>
      </c>
      <c r="AZ110" s="678">
        <f t="shared" si="56"/>
        <v>1.0800000000000001E-2</v>
      </c>
      <c r="BA110" s="69">
        <f>IF($F$1=1.8%,LOOKUP($A110,'AGIRC-ARRCO'!$B$6:$B$57,'AGIRC-ARRCO'!$C$6:$C$57),IF($F$1=1.5%,LOOKUP($A110,'AGIRC-ARRCO'!$B$6:$B$57,'AGIRC-ARRCO'!$D$6:$D$57),IF($F$1=1.3%,LOOKUP($A110,'AGIRC-ARRCO'!$B$6:$B$57,'AGIRC-ARRCO'!$E$6:$E$57),LOOKUP($A110,'AGIRC-ARRCO'!$B$6:$B$57,'AGIRC-ARRCO'!$F$6:$F$57))))</f>
        <v>41.966299999999997</v>
      </c>
      <c r="BB110" s="69"/>
      <c r="BC110" s="69"/>
      <c r="BD110" s="69">
        <f>IF($F$1=1.8%,LOOKUP($A110,'AGIRC-ARRCO'!$B$6:$B$57,'AGIRC-ARRCO'!$G$6:$G$57),IF($F$1=1.5%,LOOKUP($A110,'AGIRC-ARRCO'!$B$6:$B$57,'AGIRC-ARRCO'!$H$6:$H$57),IF($F$1=1.3%,LOOKUP($A110,'AGIRC-ARRCO'!$B$6:$B$57,'AGIRC-ARRCO'!$I$6:$I$57),LOOKUP($A110,'AGIRC-ARRCO'!$B$6:$B$57,'AGIRC-ARRCO'!$J$6:$J$57))))</f>
        <v>2.7303999999999999</v>
      </c>
      <c r="BE110" s="69"/>
      <c r="BF110" s="69"/>
      <c r="BG110" s="71">
        <f t="shared" si="30"/>
        <v>2.6876500000000001</v>
      </c>
      <c r="BH110" s="71"/>
      <c r="BI110" s="71"/>
      <c r="BJ110" s="18">
        <f t="shared" si="58"/>
        <v>4496.9778197262867</v>
      </c>
      <c r="BL110" s="15">
        <v>2062</v>
      </c>
      <c r="BM110" s="22">
        <f>BM109*IF(Simulation!$D$35="SMPT",1+$E110,IF(Simulation!$D$35="PRIX",1+$B110))</f>
        <v>23087.432305434762</v>
      </c>
      <c r="BN110" s="23">
        <f>BN109*IF(Simulation!$D$35="SMPT",1+$E110,IF(Simulation!$D$35="PRIX",1+$B110))</f>
        <v>30182.851104773312</v>
      </c>
      <c r="BO110" s="23">
        <f>BO109*IF(Simulation!$D$35="SMPT",1+$E110,IF(Simulation!$D$35="PRIX",1+$B110))</f>
        <v>46842.71635182263</v>
      </c>
      <c r="BP110" s="5"/>
      <c r="BQ110" s="146">
        <v>0</v>
      </c>
      <c r="BR110" s="146">
        <v>4.2999999999999997E-2</v>
      </c>
      <c r="BS110" s="146">
        <v>7.3999999999999996E-2</v>
      </c>
      <c r="BT110" s="146">
        <v>9.0999999999999998E-2</v>
      </c>
      <c r="BV110" s="15">
        <v>2062</v>
      </c>
      <c r="BW110" s="22">
        <f>BW109*IF(Simulation!$D$35="SMPT",1+$E110,IF(Simulation!$D$35="PRIX",1+$B110))</f>
        <v>35416.380202060689</v>
      </c>
      <c r="BX110" s="23">
        <f>BX109*IF(Simulation!$D$35="SMPT",1+$E110,IF(Simulation!$D$35="PRIX",1+$B110))</f>
        <v>46300.339786442521</v>
      </c>
      <c r="BY110" s="23">
        <f>BY109*IF(Simulation!$D$35="SMPT",1+$E110,IF(Simulation!$D$35="PRIX",1+$B110))</f>
        <v>71852.752153940732</v>
      </c>
      <c r="BZ110" s="5"/>
      <c r="CA110" s="146">
        <v>0</v>
      </c>
      <c r="CB110" s="146">
        <f t="shared" si="41"/>
        <v>4.2999999999999997E-2</v>
      </c>
      <c r="CC110" s="146">
        <f t="shared" si="42"/>
        <v>7.3999999999999996E-2</v>
      </c>
      <c r="CD110" s="146">
        <f t="shared" si="43"/>
        <v>9.0999999999999998E-2</v>
      </c>
      <c r="CE110" s="146">
        <f t="shared" si="43"/>
        <v>3.2000000000000001E-2</v>
      </c>
      <c r="CG110" s="15">
        <v>2062</v>
      </c>
      <c r="CH110" s="317">
        <f t="shared" si="57"/>
        <v>9.1999999999999998E-2</v>
      </c>
      <c r="CI110" s="311">
        <f t="shared" si="25"/>
        <v>6.8000000000000005E-2</v>
      </c>
      <c r="CJ110" s="311">
        <f t="shared" si="26"/>
        <v>5.0000000000000001E-3</v>
      </c>
      <c r="CK110" s="311">
        <f t="shared" si="26"/>
        <v>0.98250000000000004</v>
      </c>
      <c r="CL110" s="313">
        <f t="shared" si="27"/>
        <v>0</v>
      </c>
      <c r="CM110" s="313">
        <v>0</v>
      </c>
      <c r="CN110" s="313">
        <v>0</v>
      </c>
      <c r="CO110" s="318">
        <f t="shared" si="28"/>
        <v>2.4000000000000001E-4</v>
      </c>
    </row>
    <row r="111" spans="1:93" x14ac:dyDescent="0.25">
      <c r="A111" s="15">
        <v>2063</v>
      </c>
      <c r="B111" s="54">
        <f>IF($F$1=1.8%,LOOKUP($A111,Prix!B$6:B$127,Prix!$G$6:$G$127),IF($F$1=1.5%,LOOKUP($A111,Prix!B$6:B$127,Prix!$H$6:$H$127),IF($F$1=1.3%,LOOKUP($A111,Prix!B$6:B$127,Prix!$I$6:$I$127),LOOKUP($A111,Prix!B$6:B$127,Prix!$J$6:$J$127))))</f>
        <v>1.7500000000000002E-2</v>
      </c>
      <c r="C111" s="7">
        <f t="shared" si="59"/>
        <v>2.0368046830915216</v>
      </c>
      <c r="D111" s="5">
        <f>IF($F$1=1.8%,LOOKUP($A111,SMPT!$B$6:$B$127,SMPT!$C$6:$C$127),IF($F$1=1.5%,LOOKUP($A111,SMPT!$B$6:$B$127,SMPT!$D$6:$D$127),IF($F$1=1.3%,LOOKUP($A111,SMPT!$B$6:$B$127,SMPT!$E$6:$E$127),LOOKUP($A111,SMPT!$B$6:$B$127,SMPT!$F$6:$F$127))))</f>
        <v>133643.55283284656</v>
      </c>
      <c r="E111" s="17">
        <f t="shared" si="34"/>
        <v>3.0727500000000019E-2</v>
      </c>
      <c r="F111" s="60">
        <f>IF($F$1=1.8%,LOOKUP($A111,SMIC!$B$6:$B$125,SMIC!$C$6:$C$125),IF($F$1=1.5%,LOOKUP($A111,SMIC!$B$6:$B$125,SMIC!$D$6:$D$125),IF($F$1=1.3%,LOOKUP($A111,SMIC!$B$6:$B$125,SMIC!$E$6:$E$125),LOOKUP($A111,SMIC!$B$6:$B$125,SMIC!$F$6:$F$125))))</f>
        <v>59413.274387579455</v>
      </c>
      <c r="G111" s="153">
        <f t="shared" si="29"/>
        <v>3.6386340910290009</v>
      </c>
      <c r="H111" s="357">
        <f t="shared" si="23"/>
        <v>3.0730390876643199E-2</v>
      </c>
      <c r="I111" s="15">
        <v>2063</v>
      </c>
      <c r="J111" s="13">
        <f t="shared" si="60"/>
        <v>67888.541883971149</v>
      </c>
      <c r="K111" s="65">
        <f t="shared" si="44"/>
        <v>0.17749999999999999</v>
      </c>
      <c r="L111" s="65">
        <f t="shared" si="36"/>
        <v>0.10450000000000001</v>
      </c>
      <c r="M111" s="65">
        <f t="shared" si="37"/>
        <v>7.2999999999999982E-2</v>
      </c>
      <c r="N111" s="65">
        <f t="shared" si="16"/>
        <v>2.3000000000000003E-2</v>
      </c>
      <c r="O111" s="65">
        <f>IF(Simulation!$D$43="Oui",$Q111,0)</f>
        <v>1.9000000000000003E-2</v>
      </c>
      <c r="P111" s="65">
        <f>IF(Simulation!$D$43="Oui",$R111,0)</f>
        <v>4.0000000000000001E-3</v>
      </c>
      <c r="Q111" s="678">
        <f t="shared" si="38"/>
        <v>1.9000000000000003E-2</v>
      </c>
      <c r="R111" s="678">
        <f t="shared" si="38"/>
        <v>4.0000000000000001E-3</v>
      </c>
      <c r="S111" s="56">
        <f>IF($F$1=1.8%,LOOKUP($A111,Sal_valid!$B$6:$B$127,Sal_valid!$C$6:$C$127),IF($F$1=1.5%,LOOKUP($A111,Sal_valid!$B$6:$B$127,Sal_valid!$D$6:$D$127),IF($F$1=1.3%,LOOKUP($A111,Sal_valid!$B$6:$B$127,Sal_valid!$E$6:$E$127),LOOKUP($A111,Sal_valid!$B$6:$B$127,Sal_valid!$F$6:$F$127))))</f>
        <v>4896.5247686927569</v>
      </c>
      <c r="T111" s="76">
        <f>IF(Simulation!$D$33="Prix",Revalo_RB!$D123,Barèmes!$E111)</f>
        <v>1.7500000000000002E-2</v>
      </c>
      <c r="U111" s="76">
        <f>IF(Simulation!$D$34="Prix",Revalo_RB!$H123,Barèmes!$E111)</f>
        <v>1.7500000000000002E-2</v>
      </c>
      <c r="V111" s="56">
        <f>IF($F$1=1.8%,LOOKUP($A111,PSS!$B$6:$B$127,PSS!$C$6:$C$127),IF($F$1=1.5%,LOOKUP($A111,PSS!$B$6:$B$127,PSS!$D$6:$D$127),IF($F$1=1.3%,LOOKUP($A111,PSS!$B$6:$B$127,PSS!$E$6:$E$127),LOOKUP($A111,PSS!$B$6:$B$127,PSS!$F$6:$F$127))))</f>
        <v>142080</v>
      </c>
      <c r="W111" s="56">
        <f>IF($F$1=1.8%,LOOKUP($A111,Smic_AVPF!$B$6:$B$104,Smic_AVPF!$C$6:$C$104),IF($F$1=1.5%,LOOKUP($A111,Smic_AVPF!$B$6:$B$104,Smic_AVPF!$D$6:$D$104),IF($F$1=1.3%,LOOKUP($A111,Smic_AVPF!$B$6:$B$104,Smic_AVPF!$E$6:$E$104),LOOKUP($A111,Smic_AVPF!$B$6:$B$104,Smic_AVPF!$F$6:$F$104))))</f>
        <v>65418.342775708625</v>
      </c>
      <c r="X111" s="56">
        <f>IF(Simulation!$D$32="SMPT",(1+$E111)*X110,IF(Simulation!$D$32="PRIX",Minima!$O60))</f>
        <v>15770.290993381741</v>
      </c>
      <c r="Y111" s="56">
        <f>IF(Simulation!$D$32="SMPT",(1+$E111)*Y110,IF(Simulation!$D$32="PRIX",Minima!$P60))</f>
        <v>17232.612186575967</v>
      </c>
      <c r="Z111" s="56">
        <f t="shared" si="45"/>
        <v>29399.606620234554</v>
      </c>
      <c r="AA111" s="58"/>
      <c r="AB111" s="15">
        <v>2063</v>
      </c>
      <c r="AC111" s="64">
        <f t="shared" si="46"/>
        <v>6.2E-2</v>
      </c>
      <c r="AD111" s="65">
        <f t="shared" si="39"/>
        <v>3.7200000000000004E-2</v>
      </c>
      <c r="AE111" s="65">
        <f t="shared" si="47"/>
        <v>2.4799999999999996E-2</v>
      </c>
      <c r="AF111" s="65">
        <f t="shared" si="48"/>
        <v>0.17</v>
      </c>
      <c r="AG111" s="65">
        <f t="shared" si="40"/>
        <v>0.10200000000000001</v>
      </c>
      <c r="AH111" s="65">
        <f t="shared" si="49"/>
        <v>6.8000000000000005E-2</v>
      </c>
      <c r="AI111" s="66">
        <f t="shared" si="50"/>
        <v>1.27</v>
      </c>
      <c r="AJ111" s="66"/>
      <c r="AK111" s="66"/>
      <c r="AL111" s="65">
        <f t="shared" si="20"/>
        <v>3.4999999999999996E-3</v>
      </c>
      <c r="AM111" s="65">
        <f>IF(Simulation!$D$42="Oui",Barèmes!$AO111,0)</f>
        <v>2.0999999999999999E-3</v>
      </c>
      <c r="AN111" s="65">
        <f>IF(Simulation!$D$42="Oui",Barèmes!$AP111,0)</f>
        <v>1.3999999999999998E-3</v>
      </c>
      <c r="AO111" s="678">
        <f t="shared" si="51"/>
        <v>2.0999999999999999E-3</v>
      </c>
      <c r="AP111" s="678">
        <f t="shared" si="52"/>
        <v>1.3999999999999998E-3</v>
      </c>
      <c r="AQ111" s="65">
        <f t="shared" si="15"/>
        <v>2.1499999999999998E-2</v>
      </c>
      <c r="AR111" s="65">
        <f>IF(Simulation!$D$42="Oui",Barèmes!$AT111,0)</f>
        <v>1.29E-2</v>
      </c>
      <c r="AS111" s="65">
        <f>IF(Simulation!$D$42="Oui",Barèmes!$AU111,0)</f>
        <v>8.6E-3</v>
      </c>
      <c r="AT111" s="678">
        <f t="shared" si="53"/>
        <v>1.29E-2</v>
      </c>
      <c r="AU111" s="678">
        <f t="shared" si="54"/>
        <v>8.6E-3</v>
      </c>
      <c r="AV111" s="65">
        <f t="shared" si="21"/>
        <v>2.7000000000000003E-2</v>
      </c>
      <c r="AW111" s="65">
        <f>IF(Simulation!$D$42="Oui",Barèmes!$AY111,0)</f>
        <v>1.6200000000000003E-2</v>
      </c>
      <c r="AX111" s="65">
        <f>IF(Simulation!$D$42="Oui",Barèmes!$AZ111,0)</f>
        <v>1.0800000000000001E-2</v>
      </c>
      <c r="AY111" s="678">
        <f t="shared" si="55"/>
        <v>1.6200000000000003E-2</v>
      </c>
      <c r="AZ111" s="678">
        <f t="shared" si="56"/>
        <v>1.0800000000000001E-2</v>
      </c>
      <c r="BA111" s="69">
        <f>IF($F$1=1.8%,LOOKUP($A111,'AGIRC-ARRCO'!$B$6:$B$57,'AGIRC-ARRCO'!$C$6:$C$57),IF($F$1=1.5%,LOOKUP($A111,'AGIRC-ARRCO'!$B$6:$B$57,'AGIRC-ARRCO'!$D$6:$D$57),IF($F$1=1.3%,LOOKUP($A111,'AGIRC-ARRCO'!$B$6:$B$57,'AGIRC-ARRCO'!$E$6:$E$57),LOOKUP($A111,'AGIRC-ARRCO'!$B$6:$B$57,'AGIRC-ARRCO'!$F$6:$F$57))))</f>
        <v>42.772100000000002</v>
      </c>
      <c r="BB111" s="69"/>
      <c r="BC111" s="69"/>
      <c r="BD111" s="69">
        <f>IF($F$1=1.8%,LOOKUP($A111,'AGIRC-ARRCO'!$B$6:$B$57,'AGIRC-ARRCO'!$G$6:$G$57),IF($F$1=1.5%,LOOKUP($A111,'AGIRC-ARRCO'!$B$6:$B$57,'AGIRC-ARRCO'!$H$6:$H$57),IF($F$1=1.3%,LOOKUP($A111,'AGIRC-ARRCO'!$B$6:$B$57,'AGIRC-ARRCO'!$I$6:$I$57),LOOKUP($A111,'AGIRC-ARRCO'!$B$6:$B$57,'AGIRC-ARRCO'!$J$6:$J$57))))</f>
        <v>2.7827000000000002</v>
      </c>
      <c r="BE111" s="69"/>
      <c r="BF111" s="69"/>
      <c r="BG111" s="71">
        <f t="shared" si="30"/>
        <v>2.7391166666666664</v>
      </c>
      <c r="BH111" s="71"/>
      <c r="BI111" s="71"/>
      <c r="BJ111" s="18">
        <f t="shared" si="58"/>
        <v>4583.1160924964615</v>
      </c>
      <c r="BL111" s="15">
        <v>2063</v>
      </c>
      <c r="BM111" s="22">
        <f>BM110*IF(Simulation!$D$35="SMPT",1+$E111,IF(Simulation!$D$35="PRIX",1+$B111))</f>
        <v>23491.462370779871</v>
      </c>
      <c r="BN111" s="23">
        <f>BN110*IF(Simulation!$D$35="SMPT",1+$E111,IF(Simulation!$D$35="PRIX",1+$B111))</f>
        <v>30711.050999106847</v>
      </c>
      <c r="BO111" s="23">
        <f>BO110*IF(Simulation!$D$35="SMPT",1+$E111,IF(Simulation!$D$35="PRIX",1+$B111))</f>
        <v>47662.463887979531</v>
      </c>
      <c r="BP111" s="5"/>
      <c r="BQ111" s="146">
        <v>0</v>
      </c>
      <c r="BR111" s="146">
        <v>4.2999999999999997E-2</v>
      </c>
      <c r="BS111" s="146">
        <v>7.3999999999999996E-2</v>
      </c>
      <c r="BT111" s="146">
        <v>9.0999999999999998E-2</v>
      </c>
      <c r="BV111" s="15">
        <v>2063</v>
      </c>
      <c r="BW111" s="22">
        <f>BW110*IF(Simulation!$D$35="SMPT",1+$E111,IF(Simulation!$D$35="PRIX",1+$B111))</f>
        <v>36036.166855596755</v>
      </c>
      <c r="BX111" s="23">
        <f>BX110*IF(Simulation!$D$35="SMPT",1+$E111,IF(Simulation!$D$35="PRIX",1+$B111))</f>
        <v>47110.595732705267</v>
      </c>
      <c r="BY111" s="23">
        <f>BY110*IF(Simulation!$D$35="SMPT",1+$E111,IF(Simulation!$D$35="PRIX",1+$B111))</f>
        <v>73110.175316634704</v>
      </c>
      <c r="BZ111" s="5"/>
      <c r="CA111" s="146">
        <v>0</v>
      </c>
      <c r="CB111" s="146">
        <f t="shared" si="41"/>
        <v>4.2999999999999997E-2</v>
      </c>
      <c r="CC111" s="146">
        <f t="shared" si="42"/>
        <v>7.3999999999999996E-2</v>
      </c>
      <c r="CD111" s="146">
        <f t="shared" si="43"/>
        <v>9.0999999999999998E-2</v>
      </c>
      <c r="CE111" s="146">
        <f t="shared" si="43"/>
        <v>3.2000000000000001E-2</v>
      </c>
      <c r="CG111" s="15">
        <v>2063</v>
      </c>
      <c r="CH111" s="317">
        <f t="shared" si="57"/>
        <v>9.1999999999999998E-2</v>
      </c>
      <c r="CI111" s="311">
        <f t="shared" si="25"/>
        <v>6.8000000000000005E-2</v>
      </c>
      <c r="CJ111" s="311">
        <f t="shared" si="26"/>
        <v>5.0000000000000001E-3</v>
      </c>
      <c r="CK111" s="311">
        <f t="shared" si="26"/>
        <v>0.98250000000000004</v>
      </c>
      <c r="CL111" s="313">
        <f t="shared" si="27"/>
        <v>0</v>
      </c>
      <c r="CM111" s="313">
        <v>0</v>
      </c>
      <c r="CN111" s="313">
        <v>0</v>
      </c>
      <c r="CO111" s="318">
        <f t="shared" si="28"/>
        <v>2.4000000000000001E-4</v>
      </c>
    </row>
    <row r="112" spans="1:93" x14ac:dyDescent="0.25">
      <c r="A112" s="15">
        <v>2064</v>
      </c>
      <c r="B112" s="54">
        <f>IF($F$1=1.8%,LOOKUP($A112,Prix!B$6:B$127,Prix!$G$6:$G$127),IF($F$1=1.5%,LOOKUP($A112,Prix!B$6:B$127,Prix!$H$6:$H$127),IF($F$1=1.3%,LOOKUP($A112,Prix!B$6:B$127,Prix!$I$6:$I$127),LOOKUP($A112,Prix!B$6:B$127,Prix!$J$6:$J$127))))</f>
        <v>1.7500000000000002E-2</v>
      </c>
      <c r="C112" s="7">
        <f t="shared" si="59"/>
        <v>2.0724487650456234</v>
      </c>
      <c r="D112" s="5">
        <f>IF($F$1=1.8%,LOOKUP($A112,SMPT!$B$6:$B$127,SMPT!$C$6:$C$127),IF($F$1=1.5%,LOOKUP($A112,SMPT!$B$6:$B$127,SMPT!$D$6:$D$127),IF($F$1=1.3%,LOOKUP($A112,SMPT!$B$6:$B$127,SMPT!$E$6:$E$127),LOOKUP($A112,SMPT!$B$6:$B$127,SMPT!$F$6:$F$127))))</f>
        <v>137750.08510251786</v>
      </c>
      <c r="E112" s="17">
        <f t="shared" si="34"/>
        <v>3.0727500000000019E-2</v>
      </c>
      <c r="F112" s="60">
        <f>IF($F$1=1.8%,LOOKUP($A112,SMIC!$B$6:$B$125,SMIC!$C$6:$C$125),IF($F$1=1.5%,LOOKUP($A112,SMIC!$B$6:$B$125,SMIC!$D$6:$D$125),IF($F$1=1.3%,LOOKUP($A112,SMIC!$B$6:$B$125,SMIC!$E$6:$E$125),LOOKUP($A112,SMIC!$B$6:$B$125,SMIC!$F$6:$F$125))))</f>
        <v>61238.8957763238</v>
      </c>
      <c r="G112" s="153">
        <f t="shared" si="29"/>
        <v>3.7504402200610945</v>
      </c>
      <c r="H112" s="357">
        <f t="shared" si="23"/>
        <v>3.074324324324329E-2</v>
      </c>
      <c r="I112" s="15">
        <v>2064</v>
      </c>
      <c r="J112" s="13">
        <f t="shared" si="60"/>
        <v>69974.587054710864</v>
      </c>
      <c r="K112" s="65">
        <f t="shared" si="44"/>
        <v>0.17749999999999999</v>
      </c>
      <c r="L112" s="65">
        <f t="shared" si="36"/>
        <v>0.10450000000000001</v>
      </c>
      <c r="M112" s="65">
        <f t="shared" si="37"/>
        <v>7.2999999999999982E-2</v>
      </c>
      <c r="N112" s="65">
        <f t="shared" si="16"/>
        <v>2.3000000000000003E-2</v>
      </c>
      <c r="O112" s="65">
        <f>IF(Simulation!$D$43="Oui",$Q112,0)</f>
        <v>1.9000000000000003E-2</v>
      </c>
      <c r="P112" s="65">
        <f>IF(Simulation!$D$43="Oui",$R112,0)</f>
        <v>4.0000000000000001E-3</v>
      </c>
      <c r="Q112" s="678">
        <f t="shared" si="38"/>
        <v>1.9000000000000003E-2</v>
      </c>
      <c r="R112" s="678">
        <f t="shared" si="38"/>
        <v>4.0000000000000001E-3</v>
      </c>
      <c r="S112" s="56">
        <f>IF($F$1=1.8%,LOOKUP($A112,Sal_valid!$B$6:$B$127,Sal_valid!$C$6:$C$127),IF($F$1=1.5%,LOOKUP($A112,Sal_valid!$B$6:$B$127,Sal_valid!$D$6:$D$127),IF($F$1=1.3%,LOOKUP($A112,Sal_valid!$B$6:$B$127,Sal_valid!$E$6:$E$127),LOOKUP($A112,Sal_valid!$B$6:$B$127,Sal_valid!$F$6:$F$127))))</f>
        <v>5046.9827335227646</v>
      </c>
      <c r="T112" s="76">
        <f>IF(Simulation!$D$33="Prix",Revalo_RB!$D124,Barèmes!$E112)</f>
        <v>1.7500000000000002E-2</v>
      </c>
      <c r="U112" s="76">
        <f>IF(Simulation!$D$34="Prix",Revalo_RB!$H124,Barèmes!$E112)</f>
        <v>1.7500000000000002E-2</v>
      </c>
      <c r="V112" s="56">
        <f>IF($F$1=1.8%,LOOKUP($A112,PSS!$B$6:$B$127,PSS!$C$6:$C$127),IF($F$1=1.5%,LOOKUP($A112,PSS!$B$6:$B$127,PSS!$D$6:$D$127),IF($F$1=1.3%,LOOKUP($A112,PSS!$B$6:$B$127,PSS!$E$6:$E$127),LOOKUP($A112,PSS!$B$6:$B$127,PSS!$F$6:$F$127))))</f>
        <v>146448</v>
      </c>
      <c r="W112" s="56">
        <f>IF($F$1=1.8%,LOOKUP($A112,Smic_AVPF!$B$6:$B$104,Smic_AVPF!$C$6:$C$104),IF($F$1=1.5%,LOOKUP($A112,Smic_AVPF!$B$6:$B$104,Smic_AVPF!$D$6:$D$104),IF($F$1=1.3%,LOOKUP($A112,Smic_AVPF!$B$6:$B$104,Smic_AVPF!$E$6:$E$104),LOOKUP($A112,Smic_AVPF!$B$6:$B$104,Smic_AVPF!$F$6:$F$104))))</f>
        <v>67428.484903349206</v>
      </c>
      <c r="X112" s="56">
        <f>IF(Simulation!$D$32="SMPT",(1+$E112)*X111,IF(Simulation!$D$32="PRIX",Minima!$O61))</f>
        <v>16046.271085765922</v>
      </c>
      <c r="Y112" s="56">
        <f>IF(Simulation!$D$32="SMPT",(1+$E112)*Y111,IF(Simulation!$D$32="PRIX",Minima!$P61))</f>
        <v>17534.182899841049</v>
      </c>
      <c r="Z112" s="56">
        <f t="shared" si="45"/>
        <v>29914.099736088665</v>
      </c>
      <c r="AA112" s="58"/>
      <c r="AB112" s="15">
        <v>2064</v>
      </c>
      <c r="AC112" s="64">
        <f t="shared" si="46"/>
        <v>6.2E-2</v>
      </c>
      <c r="AD112" s="65">
        <f t="shared" si="39"/>
        <v>3.7200000000000004E-2</v>
      </c>
      <c r="AE112" s="65">
        <f t="shared" si="47"/>
        <v>2.4799999999999996E-2</v>
      </c>
      <c r="AF112" s="65">
        <f t="shared" si="48"/>
        <v>0.17</v>
      </c>
      <c r="AG112" s="65">
        <f t="shared" si="40"/>
        <v>0.10200000000000001</v>
      </c>
      <c r="AH112" s="65">
        <f t="shared" si="49"/>
        <v>6.8000000000000005E-2</v>
      </c>
      <c r="AI112" s="66">
        <f t="shared" si="50"/>
        <v>1.27</v>
      </c>
      <c r="AJ112" s="66"/>
      <c r="AK112" s="66"/>
      <c r="AL112" s="65">
        <f t="shared" si="20"/>
        <v>3.4999999999999996E-3</v>
      </c>
      <c r="AM112" s="65">
        <f>IF(Simulation!$D$42="Oui",Barèmes!$AO112,0)</f>
        <v>2.0999999999999999E-3</v>
      </c>
      <c r="AN112" s="65">
        <f>IF(Simulation!$D$42="Oui",Barèmes!$AP112,0)</f>
        <v>1.3999999999999998E-3</v>
      </c>
      <c r="AO112" s="678">
        <f t="shared" si="51"/>
        <v>2.0999999999999999E-3</v>
      </c>
      <c r="AP112" s="678">
        <f t="shared" si="52"/>
        <v>1.3999999999999998E-3</v>
      </c>
      <c r="AQ112" s="65">
        <f t="shared" si="15"/>
        <v>2.1499999999999998E-2</v>
      </c>
      <c r="AR112" s="65">
        <f>IF(Simulation!$D$42="Oui",Barèmes!$AT112,0)</f>
        <v>1.29E-2</v>
      </c>
      <c r="AS112" s="65">
        <f>IF(Simulation!$D$42="Oui",Barèmes!$AU112,0)</f>
        <v>8.6E-3</v>
      </c>
      <c r="AT112" s="678">
        <f t="shared" si="53"/>
        <v>1.29E-2</v>
      </c>
      <c r="AU112" s="678">
        <f t="shared" si="54"/>
        <v>8.6E-3</v>
      </c>
      <c r="AV112" s="65">
        <f t="shared" si="21"/>
        <v>2.7000000000000003E-2</v>
      </c>
      <c r="AW112" s="65">
        <f>IF(Simulation!$D$42="Oui",Barèmes!$AY112,0)</f>
        <v>1.6200000000000003E-2</v>
      </c>
      <c r="AX112" s="65">
        <f>IF(Simulation!$D$42="Oui",Barèmes!$AZ112,0)</f>
        <v>1.0800000000000001E-2</v>
      </c>
      <c r="AY112" s="678">
        <f t="shared" si="55"/>
        <v>1.6200000000000003E-2</v>
      </c>
      <c r="AZ112" s="678">
        <f t="shared" si="56"/>
        <v>1.0800000000000001E-2</v>
      </c>
      <c r="BA112" s="69">
        <f>IF($F$1=1.8%,LOOKUP($A112,'AGIRC-ARRCO'!$B$6:$B$57,'AGIRC-ARRCO'!$C$6:$C$57),IF($F$1=1.5%,LOOKUP($A112,'AGIRC-ARRCO'!$B$6:$B$57,'AGIRC-ARRCO'!$D$6:$D$57),IF($F$1=1.3%,LOOKUP($A112,'AGIRC-ARRCO'!$B$6:$B$57,'AGIRC-ARRCO'!$E$6:$E$57),LOOKUP($A112,'AGIRC-ARRCO'!$B$6:$B$57,'AGIRC-ARRCO'!$F$6:$F$57))))</f>
        <v>43.593299999999999</v>
      </c>
      <c r="BB112" s="69"/>
      <c r="BC112" s="69"/>
      <c r="BD112" s="69">
        <f>IF($F$1=1.8%,LOOKUP($A112,'AGIRC-ARRCO'!$B$6:$B$57,'AGIRC-ARRCO'!$G$6:$G$57),IF($F$1=1.5%,LOOKUP($A112,'AGIRC-ARRCO'!$B$6:$B$57,'AGIRC-ARRCO'!$H$6:$H$57),IF($F$1=1.3%,LOOKUP($A112,'AGIRC-ARRCO'!$B$6:$B$57,'AGIRC-ARRCO'!$I$6:$I$57),LOOKUP($A112,'AGIRC-ARRCO'!$B$6:$B$57,'AGIRC-ARRCO'!$J$6:$J$57))))</f>
        <v>2.8359999999999999</v>
      </c>
      <c r="BE112" s="69"/>
      <c r="BF112" s="69"/>
      <c r="BG112" s="71">
        <f t="shared" si="30"/>
        <v>2.7915833333333335</v>
      </c>
      <c r="BH112" s="71"/>
      <c r="BI112" s="71"/>
      <c r="BJ112" s="18">
        <f t="shared" si="58"/>
        <v>4670.9013685700811</v>
      </c>
      <c r="BL112" s="15">
        <v>2064</v>
      </c>
      <c r="BM112" s="22">
        <f>BM111*IF(Simulation!$D$35="SMPT",1+$E112,IF(Simulation!$D$35="PRIX",1+$B112))</f>
        <v>23902.562962268519</v>
      </c>
      <c r="BN112" s="23">
        <f>BN111*IF(Simulation!$D$35="SMPT",1+$E112,IF(Simulation!$D$35="PRIX",1+$B112))</f>
        <v>31248.494391591219</v>
      </c>
      <c r="BO112" s="23">
        <f>BO111*IF(Simulation!$D$35="SMPT",1+$E112,IF(Simulation!$D$35="PRIX",1+$B112))</f>
        <v>48496.557006019175</v>
      </c>
      <c r="BP112" s="5"/>
      <c r="BQ112" s="146">
        <v>0</v>
      </c>
      <c r="BR112" s="146">
        <v>4.2999999999999997E-2</v>
      </c>
      <c r="BS112" s="146">
        <v>7.3999999999999996E-2</v>
      </c>
      <c r="BT112" s="146">
        <v>9.0999999999999998E-2</v>
      </c>
      <c r="BV112" s="15">
        <v>2064</v>
      </c>
      <c r="BW112" s="22">
        <f>BW111*IF(Simulation!$D$35="SMPT",1+$E112,IF(Simulation!$D$35="PRIX",1+$B112))</f>
        <v>36666.7997755697</v>
      </c>
      <c r="BX112" s="23">
        <f>BX111*IF(Simulation!$D$35="SMPT",1+$E112,IF(Simulation!$D$35="PRIX",1+$B112))</f>
        <v>47935.03115802761</v>
      </c>
      <c r="BY112" s="23">
        <f>BY111*IF(Simulation!$D$35="SMPT",1+$E112,IF(Simulation!$D$35="PRIX",1+$B112))</f>
        <v>74389.603384675822</v>
      </c>
      <c r="BZ112" s="5"/>
      <c r="CA112" s="146">
        <v>0</v>
      </c>
      <c r="CB112" s="146">
        <f t="shared" si="41"/>
        <v>4.2999999999999997E-2</v>
      </c>
      <c r="CC112" s="146">
        <f t="shared" si="42"/>
        <v>7.3999999999999996E-2</v>
      </c>
      <c r="CD112" s="146">
        <f t="shared" si="43"/>
        <v>9.0999999999999998E-2</v>
      </c>
      <c r="CE112" s="146">
        <f t="shared" si="43"/>
        <v>3.2000000000000001E-2</v>
      </c>
      <c r="CG112" s="15">
        <v>2064</v>
      </c>
      <c r="CH112" s="317">
        <f t="shared" si="57"/>
        <v>9.1999999999999998E-2</v>
      </c>
      <c r="CI112" s="311">
        <f t="shared" si="25"/>
        <v>6.8000000000000005E-2</v>
      </c>
      <c r="CJ112" s="311">
        <f t="shared" si="26"/>
        <v>5.0000000000000001E-3</v>
      </c>
      <c r="CK112" s="311">
        <f t="shared" si="26"/>
        <v>0.98250000000000004</v>
      </c>
      <c r="CL112" s="313">
        <f t="shared" si="27"/>
        <v>0</v>
      </c>
      <c r="CM112" s="313">
        <v>0</v>
      </c>
      <c r="CN112" s="313">
        <v>0</v>
      </c>
      <c r="CO112" s="318">
        <f t="shared" si="28"/>
        <v>2.4000000000000001E-4</v>
      </c>
    </row>
    <row r="113" spans="1:93" x14ac:dyDescent="0.25">
      <c r="A113" s="15">
        <v>2065</v>
      </c>
      <c r="B113" s="54">
        <f>IF($F$1=1.8%,LOOKUP($A113,Prix!B$6:B$127,Prix!$G$6:$G$127),IF($F$1=1.5%,LOOKUP($A113,Prix!B$6:B$127,Prix!$H$6:$H$127),IF($F$1=1.3%,LOOKUP($A113,Prix!B$6:B$127,Prix!$I$6:$I$127),LOOKUP($A113,Prix!B$6:B$127,Prix!$J$6:$J$127))))</f>
        <v>1.7500000000000002E-2</v>
      </c>
      <c r="C113" s="7">
        <f t="shared" si="59"/>
        <v>2.1087166184339221</v>
      </c>
      <c r="D113" s="5">
        <f>IF($F$1=1.8%,LOOKUP($A113,SMPT!$B$6:$B$127,SMPT!$C$6:$C$127),IF($F$1=1.5%,LOOKUP($A113,SMPT!$B$6:$B$127,SMPT!$D$6:$D$127),IF($F$1=1.3%,LOOKUP($A113,SMPT!$B$6:$B$127,SMPT!$E$6:$E$127),LOOKUP($A113,SMPT!$B$6:$B$127,SMPT!$F$6:$F$127))))</f>
        <v>141982.80084250547</v>
      </c>
      <c r="E113" s="17">
        <f t="shared" si="34"/>
        <v>3.0727500000000019E-2</v>
      </c>
      <c r="F113" s="60">
        <f>IF($F$1=1.8%,LOOKUP($A113,SMIC!$B$6:$B$125,SMIC!$C$6:$C$125),IF($F$1=1.5%,LOOKUP($A113,SMIC!$B$6:$B$125,SMIC!$D$6:$D$125),IF($F$1=1.3%,LOOKUP($A113,SMIC!$B$6:$B$125,SMIC!$E$6:$E$125),LOOKUP($A113,SMIC!$B$6:$B$125,SMIC!$F$6:$F$125))))</f>
        <v>63120.613946290781</v>
      </c>
      <c r="G113" s="153">
        <f t="shared" si="29"/>
        <v>3.8656818719230217</v>
      </c>
      <c r="H113" s="357">
        <f t="shared" si="23"/>
        <v>3.0727630285152463E-2</v>
      </c>
      <c r="I113" s="15">
        <v>2065</v>
      </c>
      <c r="J113" s="13">
        <f t="shared" si="60"/>
        <v>72124.731178434478</v>
      </c>
      <c r="K113" s="65">
        <f t="shared" si="44"/>
        <v>0.17749999999999999</v>
      </c>
      <c r="L113" s="65">
        <f t="shared" si="36"/>
        <v>0.10450000000000001</v>
      </c>
      <c r="M113" s="65">
        <f t="shared" si="37"/>
        <v>7.2999999999999982E-2</v>
      </c>
      <c r="N113" s="65">
        <f t="shared" si="16"/>
        <v>2.3000000000000003E-2</v>
      </c>
      <c r="O113" s="65">
        <f>IF(Simulation!$D$43="Oui",$Q113,0)</f>
        <v>1.9000000000000003E-2</v>
      </c>
      <c r="P113" s="65">
        <f>IF(Simulation!$D$43="Oui",$R113,0)</f>
        <v>4.0000000000000001E-3</v>
      </c>
      <c r="Q113" s="678">
        <f t="shared" si="38"/>
        <v>1.9000000000000003E-2</v>
      </c>
      <c r="R113" s="678">
        <f t="shared" si="38"/>
        <v>4.0000000000000001E-3</v>
      </c>
      <c r="S113" s="56">
        <f>IF($F$1=1.8%,LOOKUP($A113,Sal_valid!$B$6:$B$127,Sal_valid!$C$6:$C$127),IF($F$1=1.5%,LOOKUP($A113,Sal_valid!$B$6:$B$127,Sal_valid!$D$6:$D$127),IF($F$1=1.3%,LOOKUP($A113,Sal_valid!$B$6:$B$127,Sal_valid!$E$6:$E$127),LOOKUP($A113,Sal_valid!$B$6:$B$127,Sal_valid!$F$6:$F$127))))</f>
        <v>5202.063895467084</v>
      </c>
      <c r="T113" s="76">
        <f>IF(Simulation!$D$33="Prix",Revalo_RB!$D125,Barèmes!$E113)</f>
        <v>1.7500000000000002E-2</v>
      </c>
      <c r="U113" s="76">
        <f>IF(Simulation!$D$34="Prix",Revalo_RB!$H125,Barèmes!$E113)</f>
        <v>1.7500000000000002E-2</v>
      </c>
      <c r="V113" s="56">
        <f>IF($F$1=1.8%,LOOKUP($A113,PSS!$B$6:$B$127,PSS!$C$6:$C$127),IF($F$1=1.5%,LOOKUP($A113,PSS!$B$6:$B$127,PSS!$D$6:$D$127),IF($F$1=1.3%,LOOKUP($A113,PSS!$B$6:$B$127,PSS!$E$6:$E$127),LOOKUP($A113,PSS!$B$6:$B$127,PSS!$F$6:$F$127))))</f>
        <v>150948</v>
      </c>
      <c r="W113" s="56">
        <f>IF($F$1=1.8%,LOOKUP($A113,Smic_AVPF!$B$6:$B$104,Smic_AVPF!$C$6:$C$104),IF($F$1=1.5%,LOOKUP($A113,Smic_AVPF!$B$6:$B$104,Smic_AVPF!$D$6:$D$104),IF($F$1=1.3%,LOOKUP($A113,Smic_AVPF!$B$6:$B$104,Smic_AVPF!$E$6:$E$104),LOOKUP($A113,Smic_AVPF!$B$6:$B$104,Smic_AVPF!$F$6:$F$104))))</f>
        <v>69500.393673216866</v>
      </c>
      <c r="X113" s="56">
        <f>IF(Simulation!$D$32="SMPT",(1+$E113)*X112,IF(Simulation!$D$32="PRIX",Minima!$O62))</f>
        <v>16327.080829766826</v>
      </c>
      <c r="Y113" s="56">
        <f>IF(Simulation!$D$32="SMPT",(1+$E113)*Y112,IF(Simulation!$D$32="PRIX",Minima!$P62))</f>
        <v>17841.031100588269</v>
      </c>
      <c r="Z113" s="56">
        <f t="shared" si="45"/>
        <v>30437.596481470217</v>
      </c>
      <c r="AA113" s="58"/>
      <c r="AB113" s="15">
        <v>2065</v>
      </c>
      <c r="AC113" s="64">
        <f t="shared" si="46"/>
        <v>6.2E-2</v>
      </c>
      <c r="AD113" s="65">
        <f t="shared" si="39"/>
        <v>3.7200000000000004E-2</v>
      </c>
      <c r="AE113" s="65">
        <f t="shared" si="47"/>
        <v>2.4799999999999996E-2</v>
      </c>
      <c r="AF113" s="65">
        <f t="shared" si="48"/>
        <v>0.17</v>
      </c>
      <c r="AG113" s="65">
        <f t="shared" si="40"/>
        <v>0.10200000000000001</v>
      </c>
      <c r="AH113" s="65">
        <f t="shared" si="49"/>
        <v>6.8000000000000005E-2</v>
      </c>
      <c r="AI113" s="66">
        <f t="shared" si="50"/>
        <v>1.27</v>
      </c>
      <c r="AJ113" s="66"/>
      <c r="AK113" s="66"/>
      <c r="AL113" s="65">
        <f t="shared" si="20"/>
        <v>3.4999999999999996E-3</v>
      </c>
      <c r="AM113" s="65">
        <f>IF(Simulation!$D$42="Oui",Barèmes!$AO113,0)</f>
        <v>2.0999999999999999E-3</v>
      </c>
      <c r="AN113" s="65">
        <f>IF(Simulation!$D$42="Oui",Barèmes!$AP113,0)</f>
        <v>1.3999999999999998E-3</v>
      </c>
      <c r="AO113" s="678">
        <f t="shared" si="51"/>
        <v>2.0999999999999999E-3</v>
      </c>
      <c r="AP113" s="678">
        <f t="shared" si="52"/>
        <v>1.3999999999999998E-3</v>
      </c>
      <c r="AQ113" s="65">
        <f t="shared" si="15"/>
        <v>2.1499999999999998E-2</v>
      </c>
      <c r="AR113" s="65">
        <f>IF(Simulation!$D$42="Oui",Barèmes!$AT113,0)</f>
        <v>1.29E-2</v>
      </c>
      <c r="AS113" s="65">
        <f>IF(Simulation!$D$42="Oui",Barèmes!$AU113,0)</f>
        <v>8.6E-3</v>
      </c>
      <c r="AT113" s="678">
        <f t="shared" si="53"/>
        <v>1.29E-2</v>
      </c>
      <c r="AU113" s="678">
        <f t="shared" si="54"/>
        <v>8.6E-3</v>
      </c>
      <c r="AV113" s="65">
        <f t="shared" si="21"/>
        <v>2.7000000000000003E-2</v>
      </c>
      <c r="AW113" s="65">
        <f>IF(Simulation!$D$42="Oui",Barèmes!$AY113,0)</f>
        <v>1.6200000000000003E-2</v>
      </c>
      <c r="AX113" s="65">
        <f>IF(Simulation!$D$42="Oui",Barèmes!$AZ113,0)</f>
        <v>1.0800000000000001E-2</v>
      </c>
      <c r="AY113" s="678">
        <f t="shared" si="55"/>
        <v>1.6200000000000003E-2</v>
      </c>
      <c r="AZ113" s="678">
        <f t="shared" si="56"/>
        <v>1.0800000000000001E-2</v>
      </c>
      <c r="BA113" s="69">
        <f>IF($F$1=1.8%,LOOKUP($A113,'AGIRC-ARRCO'!$B$6:$B$57,'AGIRC-ARRCO'!$C$6:$C$57),IF($F$1=1.5%,LOOKUP($A113,'AGIRC-ARRCO'!$B$6:$B$57,'AGIRC-ARRCO'!$D$6:$D$57),IF($F$1=1.3%,LOOKUP($A113,'AGIRC-ARRCO'!$B$6:$B$57,'AGIRC-ARRCO'!$E$6:$E$57),LOOKUP($A113,'AGIRC-ARRCO'!$B$6:$B$57,'AGIRC-ARRCO'!$F$6:$F$57))))</f>
        <v>44.430300000000003</v>
      </c>
      <c r="BB113" s="69"/>
      <c r="BC113" s="69"/>
      <c r="BD113" s="69">
        <f>IF($F$1=1.8%,LOOKUP($A113,'AGIRC-ARRCO'!$B$6:$B$57,'AGIRC-ARRCO'!$G$6:$G$57),IF($F$1=1.5%,LOOKUP($A113,'AGIRC-ARRCO'!$B$6:$B$57,'AGIRC-ARRCO'!$H$6:$H$57),IF($F$1=1.3%,LOOKUP($A113,'AGIRC-ARRCO'!$B$6:$B$57,'AGIRC-ARRCO'!$I$6:$I$57),LOOKUP($A113,'AGIRC-ARRCO'!$B$6:$B$57,'AGIRC-ARRCO'!$J$6:$J$57))))</f>
        <v>2.8902999999999999</v>
      </c>
      <c r="BE113" s="69"/>
      <c r="BF113" s="69"/>
      <c r="BG113" s="71">
        <f t="shared" si="30"/>
        <v>2.8450500000000001</v>
      </c>
      <c r="BH113" s="71"/>
      <c r="BI113" s="71"/>
      <c r="BJ113" s="18">
        <f t="shared" si="58"/>
        <v>4760.3336479471454</v>
      </c>
      <c r="BL113" s="15">
        <v>2065</v>
      </c>
      <c r="BM113" s="22">
        <f>BM112*IF(Simulation!$D$35="SMPT",1+$E113,IF(Simulation!$D$35="PRIX",1+$B113))</f>
        <v>24320.857814108222</v>
      </c>
      <c r="BN113" s="23">
        <f>BN112*IF(Simulation!$D$35="SMPT",1+$E113,IF(Simulation!$D$35="PRIX",1+$B113))</f>
        <v>31795.343043444067</v>
      </c>
      <c r="BO113" s="23">
        <f>BO112*IF(Simulation!$D$35="SMPT",1+$E113,IF(Simulation!$D$35="PRIX",1+$B113))</f>
        <v>49345.246753624517</v>
      </c>
      <c r="BP113" s="5"/>
      <c r="BQ113" s="146">
        <v>0</v>
      </c>
      <c r="BR113" s="146">
        <v>4.2999999999999997E-2</v>
      </c>
      <c r="BS113" s="146">
        <v>7.3999999999999996E-2</v>
      </c>
      <c r="BT113" s="146">
        <v>9.0999999999999998E-2</v>
      </c>
      <c r="BV113" s="15">
        <v>2065</v>
      </c>
      <c r="BW113" s="22">
        <f>BW112*IF(Simulation!$D$35="SMPT",1+$E113,IF(Simulation!$D$35="PRIX",1+$B113))</f>
        <v>37308.468771642169</v>
      </c>
      <c r="BX113" s="23">
        <f>BX112*IF(Simulation!$D$35="SMPT",1+$E113,IF(Simulation!$D$35="PRIX",1+$B113))</f>
        <v>48773.894203293094</v>
      </c>
      <c r="BY113" s="23">
        <f>BY112*IF(Simulation!$D$35="SMPT",1+$E113,IF(Simulation!$D$35="PRIX",1+$B113))</f>
        <v>75691.42144390766</v>
      </c>
      <c r="BZ113" s="5"/>
      <c r="CA113" s="146">
        <v>0</v>
      </c>
      <c r="CB113" s="146">
        <f t="shared" si="41"/>
        <v>4.2999999999999997E-2</v>
      </c>
      <c r="CC113" s="146">
        <f t="shared" si="42"/>
        <v>7.3999999999999996E-2</v>
      </c>
      <c r="CD113" s="146">
        <f t="shared" si="43"/>
        <v>9.0999999999999998E-2</v>
      </c>
      <c r="CE113" s="146">
        <f t="shared" si="43"/>
        <v>3.2000000000000001E-2</v>
      </c>
      <c r="CG113" s="15">
        <v>2065</v>
      </c>
      <c r="CH113" s="317">
        <f t="shared" si="57"/>
        <v>9.1999999999999998E-2</v>
      </c>
      <c r="CI113" s="311">
        <f t="shared" si="25"/>
        <v>6.8000000000000005E-2</v>
      </c>
      <c r="CJ113" s="311">
        <f t="shared" si="26"/>
        <v>5.0000000000000001E-3</v>
      </c>
      <c r="CK113" s="311">
        <f t="shared" si="26"/>
        <v>0.98250000000000004</v>
      </c>
      <c r="CL113" s="313">
        <f t="shared" si="27"/>
        <v>0</v>
      </c>
      <c r="CM113" s="313">
        <v>0</v>
      </c>
      <c r="CN113" s="313">
        <v>0</v>
      </c>
      <c r="CO113" s="318">
        <f t="shared" si="28"/>
        <v>2.4000000000000001E-4</v>
      </c>
    </row>
    <row r="114" spans="1:93" x14ac:dyDescent="0.25">
      <c r="A114" s="15">
        <v>2066</v>
      </c>
      <c r="B114" s="54">
        <f>IF($F$1=1.8%,LOOKUP($A114,Prix!B$6:B$127,Prix!$G$6:$G$127),IF($F$1=1.5%,LOOKUP($A114,Prix!B$6:B$127,Prix!$H$6:$H$127),IF($F$1=1.3%,LOOKUP($A114,Prix!B$6:B$127,Prix!$I$6:$I$127),LOOKUP($A114,Prix!B$6:B$127,Prix!$J$6:$J$127))))</f>
        <v>1.7500000000000002E-2</v>
      </c>
      <c r="C114" s="7">
        <f t="shared" si="59"/>
        <v>2.1456191592565159</v>
      </c>
      <c r="D114" s="5">
        <f>IF($F$1=1.8%,LOOKUP($A114,SMPT!$B$6:$B$127,SMPT!$C$6:$C$127),IF($F$1=1.5%,LOOKUP($A114,SMPT!$B$6:$B$127,SMPT!$D$6:$D$127),IF($F$1=1.3%,LOOKUP($A114,SMPT!$B$6:$B$127,SMPT!$E$6:$E$127),LOOKUP($A114,SMPT!$B$6:$B$127,SMPT!$F$6:$F$127))))</f>
        <v>146345.57735539356</v>
      </c>
      <c r="E114" s="17">
        <f t="shared" si="34"/>
        <v>3.0727500000000019E-2</v>
      </c>
      <c r="F114" s="60">
        <f>IF($F$1=1.8%,LOOKUP($A114,SMIC!$B$6:$B$125,SMIC!$C$6:$C$125),IF($F$1=1.5%,LOOKUP($A114,SMIC!$B$6:$B$125,SMIC!$D$6:$D$125),IF($F$1=1.3%,LOOKUP($A114,SMIC!$B$6:$B$125,SMIC!$E$6:$E$125),LOOKUP($A114,SMIC!$B$6:$B$125,SMIC!$F$6:$F$125))))</f>
        <v>65060.152611325422</v>
      </c>
      <c r="G114" s="153">
        <f t="shared" si="29"/>
        <v>3.9844646116425366</v>
      </c>
      <c r="H114" s="357">
        <f t="shared" si="23"/>
        <v>3.0765561650369699E-2</v>
      </c>
      <c r="I114" s="15">
        <v>2066</v>
      </c>
      <c r="J114" s="13">
        <f t="shared" si="60"/>
        <v>74340.943855719815</v>
      </c>
      <c r="K114" s="65">
        <f t="shared" si="44"/>
        <v>0.17749999999999999</v>
      </c>
      <c r="L114" s="65">
        <f t="shared" si="36"/>
        <v>0.10450000000000001</v>
      </c>
      <c r="M114" s="65">
        <f t="shared" si="37"/>
        <v>7.2999999999999982E-2</v>
      </c>
      <c r="N114" s="65">
        <f t="shared" si="16"/>
        <v>2.3000000000000003E-2</v>
      </c>
      <c r="O114" s="65">
        <f>IF(Simulation!$D$43="Oui",$Q114,0)</f>
        <v>1.9000000000000003E-2</v>
      </c>
      <c r="P114" s="65">
        <f>IF(Simulation!$D$43="Oui",$R114,0)</f>
        <v>4.0000000000000001E-3</v>
      </c>
      <c r="Q114" s="678">
        <f t="shared" si="38"/>
        <v>1.9000000000000003E-2</v>
      </c>
      <c r="R114" s="678">
        <f t="shared" si="38"/>
        <v>4.0000000000000001E-3</v>
      </c>
      <c r="S114" s="56">
        <f>IF($F$1=1.8%,LOOKUP($A114,Sal_valid!$B$6:$B$127,Sal_valid!$C$6:$C$127),IF($F$1=1.5%,LOOKUP($A114,Sal_valid!$B$6:$B$127,Sal_valid!$D$6:$D$127),IF($F$1=1.3%,LOOKUP($A114,Sal_valid!$B$6:$B$127,Sal_valid!$E$6:$E$127),LOOKUP($A114,Sal_valid!$B$6:$B$127,Sal_valid!$F$6:$F$127))))</f>
        <v>5361.9103138150494</v>
      </c>
      <c r="T114" s="76">
        <f>IF(Simulation!$D$33="Prix",Revalo_RB!$D126,Barèmes!$E114)</f>
        <v>1.7500000000000002E-2</v>
      </c>
      <c r="U114" s="76">
        <f>IF(Simulation!$D$34="Prix",Revalo_RB!$H126,Barèmes!$E114)</f>
        <v>1.7500000000000002E-2</v>
      </c>
      <c r="V114" s="56">
        <f>IF($F$1=1.8%,LOOKUP($A114,PSS!$B$6:$B$127,PSS!$C$6:$C$127),IF($F$1=1.5%,LOOKUP($A114,PSS!$B$6:$B$127,PSS!$D$6:$D$127),IF($F$1=1.3%,LOOKUP($A114,PSS!$B$6:$B$127,PSS!$E$6:$E$127),LOOKUP($A114,PSS!$B$6:$B$127,PSS!$F$6:$F$127))))</f>
        <v>155592</v>
      </c>
      <c r="W114" s="56">
        <f>IF($F$1=1.8%,LOOKUP($A114,Smic_AVPF!$B$6:$B$104,Smic_AVPF!$C$6:$C$104),IF($F$1=1.5%,LOOKUP($A114,Smic_AVPF!$B$6:$B$104,Smic_AVPF!$D$6:$D$104),IF($F$1=1.3%,LOOKUP($A114,Smic_AVPF!$B$6:$B$104,Smic_AVPF!$E$6:$E$104),LOOKUP($A114,Smic_AVPF!$B$6:$B$104,Smic_AVPF!$F$6:$F$104))))</f>
        <v>71635.967019810632</v>
      </c>
      <c r="X114" s="56">
        <f>IF(Simulation!$D$32="SMPT",(1+$E114)*X113,IF(Simulation!$D$32="PRIX",Minima!$O63))</f>
        <v>16612.804744287747</v>
      </c>
      <c r="Y114" s="56">
        <f>IF(Simulation!$D$32="SMPT",(1+$E114)*Y113,IF(Simulation!$D$32="PRIX",Minima!$P63))</f>
        <v>18153.249144848563</v>
      </c>
      <c r="Z114" s="56">
        <f t="shared" si="45"/>
        <v>30970.254419895944</v>
      </c>
      <c r="AA114" s="58"/>
      <c r="AB114" s="15">
        <v>2066</v>
      </c>
      <c r="AC114" s="64">
        <f t="shared" si="46"/>
        <v>6.2E-2</v>
      </c>
      <c r="AD114" s="65">
        <f t="shared" si="39"/>
        <v>3.7200000000000004E-2</v>
      </c>
      <c r="AE114" s="65">
        <f t="shared" si="47"/>
        <v>2.4799999999999996E-2</v>
      </c>
      <c r="AF114" s="65">
        <f t="shared" si="48"/>
        <v>0.17</v>
      </c>
      <c r="AG114" s="65">
        <f t="shared" si="40"/>
        <v>0.10200000000000001</v>
      </c>
      <c r="AH114" s="65">
        <f t="shared" si="49"/>
        <v>6.8000000000000005E-2</v>
      </c>
      <c r="AI114" s="66">
        <f t="shared" si="50"/>
        <v>1.27</v>
      </c>
      <c r="AJ114" s="66"/>
      <c r="AK114" s="66"/>
      <c r="AL114" s="65">
        <f t="shared" si="20"/>
        <v>3.4999999999999996E-3</v>
      </c>
      <c r="AM114" s="65">
        <f>IF(Simulation!$D$42="Oui",Barèmes!$AO114,0)</f>
        <v>2.0999999999999999E-3</v>
      </c>
      <c r="AN114" s="65">
        <f>IF(Simulation!$D$42="Oui",Barèmes!$AP114,0)</f>
        <v>1.3999999999999998E-3</v>
      </c>
      <c r="AO114" s="678">
        <f t="shared" si="51"/>
        <v>2.0999999999999999E-3</v>
      </c>
      <c r="AP114" s="678">
        <f t="shared" si="52"/>
        <v>1.3999999999999998E-3</v>
      </c>
      <c r="AQ114" s="65">
        <f t="shared" si="15"/>
        <v>2.1499999999999998E-2</v>
      </c>
      <c r="AR114" s="65">
        <f>IF(Simulation!$D$42="Oui",Barèmes!$AT114,0)</f>
        <v>1.29E-2</v>
      </c>
      <c r="AS114" s="65">
        <f>IF(Simulation!$D$42="Oui",Barèmes!$AU114,0)</f>
        <v>8.6E-3</v>
      </c>
      <c r="AT114" s="678">
        <f t="shared" si="53"/>
        <v>1.29E-2</v>
      </c>
      <c r="AU114" s="678">
        <f t="shared" si="54"/>
        <v>8.6E-3</v>
      </c>
      <c r="AV114" s="65">
        <f t="shared" si="21"/>
        <v>2.7000000000000003E-2</v>
      </c>
      <c r="AW114" s="65">
        <f>IF(Simulation!$D$42="Oui",Barèmes!$AY114,0)</f>
        <v>1.6200000000000003E-2</v>
      </c>
      <c r="AX114" s="65">
        <f>IF(Simulation!$D$42="Oui",Barèmes!$AZ114,0)</f>
        <v>1.0800000000000001E-2</v>
      </c>
      <c r="AY114" s="678">
        <f t="shared" si="55"/>
        <v>1.6200000000000003E-2</v>
      </c>
      <c r="AZ114" s="678">
        <f t="shared" si="56"/>
        <v>1.0800000000000001E-2</v>
      </c>
      <c r="BA114" s="69">
        <f>IF($F$1=1.8%,LOOKUP($A114,'AGIRC-ARRCO'!$B$6:$B$57,'AGIRC-ARRCO'!$C$6:$C$57),IF($F$1=1.5%,LOOKUP($A114,'AGIRC-ARRCO'!$B$6:$B$57,'AGIRC-ARRCO'!$D$6:$D$57),IF($F$1=1.3%,LOOKUP($A114,'AGIRC-ARRCO'!$B$6:$B$57,'AGIRC-ARRCO'!$E$6:$E$57),LOOKUP($A114,'AGIRC-ARRCO'!$B$6:$B$57,'AGIRC-ARRCO'!$F$6:$F$57))))</f>
        <v>45.2834</v>
      </c>
      <c r="BB114" s="69"/>
      <c r="BC114" s="69"/>
      <c r="BD114" s="69">
        <f>IF($F$1=1.8%,LOOKUP($A114,'AGIRC-ARRCO'!$B$6:$B$57,'AGIRC-ARRCO'!$G$6:$G$57),IF($F$1=1.5%,LOOKUP($A114,'AGIRC-ARRCO'!$B$6:$B$57,'AGIRC-ARRCO'!$H$6:$H$57),IF($F$1=1.3%,LOOKUP($A114,'AGIRC-ARRCO'!$B$6:$B$57,'AGIRC-ARRCO'!$I$6:$I$57),LOOKUP($A114,'AGIRC-ARRCO'!$B$6:$B$57,'AGIRC-ARRCO'!$J$6:$J$57))))</f>
        <v>2.9457</v>
      </c>
      <c r="BE114" s="69"/>
      <c r="BF114" s="69"/>
      <c r="BG114" s="71">
        <f t="shared" si="30"/>
        <v>2.8995333333333333</v>
      </c>
      <c r="BH114" s="71"/>
      <c r="BI114" s="71"/>
      <c r="BJ114" s="18">
        <f t="shared" si="58"/>
        <v>4851.5776309579996</v>
      </c>
      <c r="BL114" s="15">
        <v>2066</v>
      </c>
      <c r="BM114" s="22">
        <f>BM113*IF(Simulation!$D$35="SMPT",1+$E114,IF(Simulation!$D$35="PRIX",1+$B114))</f>
        <v>24746.472825855119</v>
      </c>
      <c r="BN114" s="23">
        <f>BN113*IF(Simulation!$D$35="SMPT",1+$E114,IF(Simulation!$D$35="PRIX",1+$B114))</f>
        <v>32351.76154670434</v>
      </c>
      <c r="BO114" s="23">
        <f>BO113*IF(Simulation!$D$35="SMPT",1+$E114,IF(Simulation!$D$35="PRIX",1+$B114))</f>
        <v>50208.788571812947</v>
      </c>
      <c r="BP114" s="5"/>
      <c r="BQ114" s="146">
        <v>0</v>
      </c>
      <c r="BR114" s="146">
        <v>4.2999999999999997E-2</v>
      </c>
      <c r="BS114" s="146">
        <v>7.3999999999999996E-2</v>
      </c>
      <c r="BT114" s="146">
        <v>9.0999999999999998E-2</v>
      </c>
      <c r="BV114" s="15">
        <v>2066</v>
      </c>
      <c r="BW114" s="22">
        <f>BW113*IF(Simulation!$D$35="SMPT",1+$E114,IF(Simulation!$D$35="PRIX",1+$B114))</f>
        <v>37961.366975145909</v>
      </c>
      <c r="BX114" s="23">
        <f>BX113*IF(Simulation!$D$35="SMPT",1+$E114,IF(Simulation!$D$35="PRIX",1+$B114))</f>
        <v>49627.437351850727</v>
      </c>
      <c r="BY114" s="23">
        <f>BY113*IF(Simulation!$D$35="SMPT",1+$E114,IF(Simulation!$D$35="PRIX",1+$B114))</f>
        <v>77016.021319176056</v>
      </c>
      <c r="BZ114" s="5"/>
      <c r="CA114" s="146">
        <v>0</v>
      </c>
      <c r="CB114" s="146">
        <f t="shared" si="41"/>
        <v>4.2999999999999997E-2</v>
      </c>
      <c r="CC114" s="146">
        <f t="shared" si="42"/>
        <v>7.3999999999999996E-2</v>
      </c>
      <c r="CD114" s="146">
        <f t="shared" si="43"/>
        <v>9.0999999999999998E-2</v>
      </c>
      <c r="CE114" s="146">
        <f t="shared" si="43"/>
        <v>3.2000000000000001E-2</v>
      </c>
      <c r="CG114" s="15">
        <v>2066</v>
      </c>
      <c r="CH114" s="317">
        <f t="shared" si="57"/>
        <v>9.1999999999999998E-2</v>
      </c>
      <c r="CI114" s="311">
        <f t="shared" si="25"/>
        <v>6.8000000000000005E-2</v>
      </c>
      <c r="CJ114" s="311">
        <f t="shared" si="26"/>
        <v>5.0000000000000001E-3</v>
      </c>
      <c r="CK114" s="311">
        <f t="shared" si="26"/>
        <v>0.98250000000000004</v>
      </c>
      <c r="CL114" s="313">
        <f t="shared" si="27"/>
        <v>0</v>
      </c>
      <c r="CM114" s="313">
        <v>0</v>
      </c>
      <c r="CN114" s="313">
        <v>0</v>
      </c>
      <c r="CO114" s="318">
        <f t="shared" si="28"/>
        <v>2.4000000000000001E-4</v>
      </c>
    </row>
    <row r="115" spans="1:93" x14ac:dyDescent="0.25">
      <c r="A115" s="15">
        <v>2067</v>
      </c>
      <c r="B115" s="54">
        <f>IF($F$1=1.8%,LOOKUP($A115,Prix!B$6:B$127,Prix!$G$6:$G$127),IF($F$1=1.5%,LOOKUP($A115,Prix!B$6:B$127,Prix!$H$6:$H$127),IF($F$1=1.3%,LOOKUP($A115,Prix!B$6:B$127,Prix!$I$6:$I$127),LOOKUP($A115,Prix!B$6:B$127,Prix!$J$6:$J$127))))</f>
        <v>1.7500000000000002E-2</v>
      </c>
      <c r="C115" s="7">
        <f t="shared" si="59"/>
        <v>2.1831674945435049</v>
      </c>
      <c r="D115" s="5">
        <f>IF($F$1=1.8%,LOOKUP($A115,SMPT!$B$6:$B$127,SMPT!$C$6:$C$127),IF($F$1=1.5%,LOOKUP($A115,SMPT!$B$6:$B$127,SMPT!$D$6:$D$127),IF($F$1=1.3%,LOOKUP($A115,SMPT!$B$6:$B$127,SMPT!$E$6:$E$127),LOOKUP($A115,SMPT!$B$6:$B$127,SMPT!$F$6:$F$127))))</f>
        <v>150842.41108358142</v>
      </c>
      <c r="E115" s="17">
        <f t="shared" si="34"/>
        <v>3.0727500000000019E-2</v>
      </c>
      <c r="F115" s="60">
        <f>IF($F$1=1.8%,LOOKUP($A115,SMIC!$B$6:$B$125,SMIC!$C$6:$C$125),IF($F$1=1.5%,LOOKUP($A115,SMIC!$B$6:$B$125,SMIC!$D$6:$D$125),IF($F$1=1.3%,LOOKUP($A115,SMIC!$B$6:$B$125,SMIC!$E$6:$E$125),LOOKUP($A115,SMIC!$B$6:$B$125,SMIC!$F$6:$F$125))))</f>
        <v>67059.288450689914</v>
      </c>
      <c r="G115" s="153">
        <f t="shared" si="29"/>
        <v>4.1068972479967822</v>
      </c>
      <c r="H115" s="357">
        <f t="shared" si="23"/>
        <v>3.0772790374826497E-2</v>
      </c>
      <c r="I115" s="15">
        <v>2067</v>
      </c>
      <c r="J115" s="13">
        <f t="shared" si="60"/>
        <v>76625.255208046437</v>
      </c>
      <c r="K115" s="65">
        <f t="shared" si="44"/>
        <v>0.17749999999999999</v>
      </c>
      <c r="L115" s="65">
        <f t="shared" si="36"/>
        <v>0.10450000000000001</v>
      </c>
      <c r="M115" s="65">
        <f t="shared" si="37"/>
        <v>7.2999999999999982E-2</v>
      </c>
      <c r="N115" s="65">
        <f t="shared" si="16"/>
        <v>2.3000000000000003E-2</v>
      </c>
      <c r="O115" s="65">
        <f>IF(Simulation!$D$43="Oui",$Q115,0)</f>
        <v>1.9000000000000003E-2</v>
      </c>
      <c r="P115" s="65">
        <f>IF(Simulation!$D$43="Oui",$R115,0)</f>
        <v>4.0000000000000001E-3</v>
      </c>
      <c r="Q115" s="678">
        <f t="shared" si="38"/>
        <v>1.9000000000000003E-2</v>
      </c>
      <c r="R115" s="678">
        <f t="shared" si="38"/>
        <v>4.0000000000000001E-3</v>
      </c>
      <c r="S115" s="56">
        <f>IF($F$1=1.8%,LOOKUP($A115,Sal_valid!$B$6:$B$127,Sal_valid!$C$6:$C$127),IF($F$1=1.5%,LOOKUP($A115,Sal_valid!$B$6:$B$127,Sal_valid!$D$6:$D$127),IF($F$1=1.3%,LOOKUP($A115,Sal_valid!$B$6:$B$127,Sal_valid!$E$6:$E$127),LOOKUP($A115,Sal_valid!$B$6:$B$127,Sal_valid!$F$6:$F$127))))</f>
        <v>5526.6684129828</v>
      </c>
      <c r="T115" s="76">
        <f>IF(Simulation!$D$33="Prix",Revalo_RB!$D127,Barèmes!$E115)</f>
        <v>1.7500000000000002E-2</v>
      </c>
      <c r="U115" s="76">
        <f>IF(Simulation!$D$34="Prix",Revalo_RB!$H127,Barèmes!$E115)</f>
        <v>1.7500000000000002E-2</v>
      </c>
      <c r="V115" s="56">
        <f>IF($F$1=1.8%,LOOKUP($A115,PSS!$B$6:$B$127,PSS!$C$6:$C$127),IF($F$1=1.5%,LOOKUP($A115,PSS!$B$6:$B$127,PSS!$D$6:$D$127),IF($F$1=1.3%,LOOKUP($A115,PSS!$B$6:$B$127,PSS!$E$6:$E$127),LOOKUP($A115,PSS!$B$6:$B$127,PSS!$F$6:$F$127))))</f>
        <v>160380</v>
      </c>
      <c r="W115" s="56">
        <f>IF($F$1=1.8%,LOOKUP($A115,Smic_AVPF!$B$6:$B$104,Smic_AVPF!$C$6:$C$104),IF($F$1=1.5%,LOOKUP($A115,Smic_AVPF!$B$6:$B$104,Smic_AVPF!$D$6:$D$104),IF($F$1=1.3%,LOOKUP($A115,Smic_AVPF!$B$6:$B$104,Smic_AVPF!$E$6:$E$104),LOOKUP($A115,Smic_AVPF!$B$6:$B$104,Smic_AVPF!$F$6:$F$104))))</f>
        <v>73837.161196411864</v>
      </c>
      <c r="X115" s="56">
        <f>IF(Simulation!$D$32="SMPT",(1+$E115)*X114,IF(Simulation!$D$32="PRIX",Minima!$O64))</f>
        <v>16903.528827312784</v>
      </c>
      <c r="Y115" s="56">
        <f>IF(Simulation!$D$32="SMPT",(1+$E115)*Y114,IF(Simulation!$D$32="PRIX",Minima!$P64))</f>
        <v>18470.931004883416</v>
      </c>
      <c r="Z115" s="56">
        <f t="shared" si="45"/>
        <v>31512.233872244124</v>
      </c>
      <c r="AA115" s="58"/>
      <c r="AB115" s="15">
        <v>2067</v>
      </c>
      <c r="AC115" s="64">
        <f t="shared" si="46"/>
        <v>6.2E-2</v>
      </c>
      <c r="AD115" s="65">
        <f t="shared" si="39"/>
        <v>3.7200000000000004E-2</v>
      </c>
      <c r="AE115" s="65">
        <f t="shared" si="47"/>
        <v>2.4799999999999996E-2</v>
      </c>
      <c r="AF115" s="65">
        <f t="shared" si="48"/>
        <v>0.17</v>
      </c>
      <c r="AG115" s="65">
        <f t="shared" si="40"/>
        <v>0.10200000000000001</v>
      </c>
      <c r="AH115" s="65">
        <f t="shared" si="49"/>
        <v>6.8000000000000005E-2</v>
      </c>
      <c r="AI115" s="66">
        <f t="shared" si="50"/>
        <v>1.27</v>
      </c>
      <c r="AJ115" s="66"/>
      <c r="AK115" s="66"/>
      <c r="AL115" s="65">
        <f t="shared" si="20"/>
        <v>3.4999999999999996E-3</v>
      </c>
      <c r="AM115" s="65">
        <f>IF(Simulation!$D$42="Oui",Barèmes!$AO115,0)</f>
        <v>2.0999999999999999E-3</v>
      </c>
      <c r="AN115" s="65">
        <f>IF(Simulation!$D$42="Oui",Barèmes!$AP115,0)</f>
        <v>1.3999999999999998E-3</v>
      </c>
      <c r="AO115" s="678">
        <f t="shared" si="51"/>
        <v>2.0999999999999999E-3</v>
      </c>
      <c r="AP115" s="678">
        <f t="shared" si="52"/>
        <v>1.3999999999999998E-3</v>
      </c>
      <c r="AQ115" s="65">
        <f t="shared" si="15"/>
        <v>2.1499999999999998E-2</v>
      </c>
      <c r="AR115" s="65">
        <f>IF(Simulation!$D$42="Oui",Barèmes!$AT115,0)</f>
        <v>1.29E-2</v>
      </c>
      <c r="AS115" s="65">
        <f>IF(Simulation!$D$42="Oui",Barèmes!$AU115,0)</f>
        <v>8.6E-3</v>
      </c>
      <c r="AT115" s="678">
        <f t="shared" si="53"/>
        <v>1.29E-2</v>
      </c>
      <c r="AU115" s="678">
        <f t="shared" si="54"/>
        <v>8.6E-3</v>
      </c>
      <c r="AV115" s="65">
        <f t="shared" si="21"/>
        <v>2.7000000000000003E-2</v>
      </c>
      <c r="AW115" s="65">
        <f>IF(Simulation!$D$42="Oui",Barèmes!$AY115,0)</f>
        <v>1.6200000000000003E-2</v>
      </c>
      <c r="AX115" s="65">
        <f>IF(Simulation!$D$42="Oui",Barèmes!$AZ115,0)</f>
        <v>1.0800000000000001E-2</v>
      </c>
      <c r="AY115" s="678">
        <f t="shared" si="55"/>
        <v>1.6200000000000003E-2</v>
      </c>
      <c r="AZ115" s="678">
        <f t="shared" si="56"/>
        <v>1.0800000000000001E-2</v>
      </c>
      <c r="BA115" s="69">
        <f>IF($F$1=1.8%,LOOKUP($A115,'AGIRC-ARRCO'!$B$6:$B$57,'AGIRC-ARRCO'!$C$6:$C$57),IF($F$1=1.5%,LOOKUP($A115,'AGIRC-ARRCO'!$B$6:$B$57,'AGIRC-ARRCO'!$D$6:$D$57),IF($F$1=1.3%,LOOKUP($A115,'AGIRC-ARRCO'!$B$6:$B$57,'AGIRC-ARRCO'!$E$6:$E$57),LOOKUP($A115,'AGIRC-ARRCO'!$B$6:$B$57,'AGIRC-ARRCO'!$F$6:$F$57))))</f>
        <v>46.152799999999999</v>
      </c>
      <c r="BB115" s="69"/>
      <c r="BC115" s="69"/>
      <c r="BD115" s="69">
        <f>IF($F$1=1.8%,LOOKUP($A115,'AGIRC-ARRCO'!$B$6:$B$57,'AGIRC-ARRCO'!$G$6:$G$57),IF($F$1=1.5%,LOOKUP($A115,'AGIRC-ARRCO'!$B$6:$B$57,'AGIRC-ARRCO'!$H$6:$H$57),IF($F$1=1.3%,LOOKUP($A115,'AGIRC-ARRCO'!$B$6:$B$57,'AGIRC-ARRCO'!$I$6:$I$57),LOOKUP($A115,'AGIRC-ARRCO'!$B$6:$B$57,'AGIRC-ARRCO'!$J$6:$J$57))))</f>
        <v>3.0021</v>
      </c>
      <c r="BE115" s="69"/>
      <c r="BF115" s="69"/>
      <c r="BG115" s="71">
        <f t="shared" si="30"/>
        <v>2.9551000000000003</v>
      </c>
      <c r="BH115" s="71"/>
      <c r="BI115" s="71"/>
      <c r="BJ115" s="18">
        <f t="shared" si="58"/>
        <v>4944.4686172722986</v>
      </c>
      <c r="BL115" s="15">
        <v>2067</v>
      </c>
      <c r="BM115" s="22">
        <f>BM114*IF(Simulation!$D$35="SMPT",1+$E115,IF(Simulation!$D$35="PRIX",1+$B115))</f>
        <v>25179.536100307585</v>
      </c>
      <c r="BN115" s="23">
        <f>BN114*IF(Simulation!$D$35="SMPT",1+$E115,IF(Simulation!$D$35="PRIX",1+$B115))</f>
        <v>32917.91737377167</v>
      </c>
      <c r="BO115" s="23">
        <f>BO114*IF(Simulation!$D$35="SMPT",1+$E115,IF(Simulation!$D$35="PRIX",1+$B115))</f>
        <v>51087.442371819678</v>
      </c>
      <c r="BP115" s="5"/>
      <c r="BQ115" s="146">
        <v>0</v>
      </c>
      <c r="BR115" s="146">
        <v>4.2999999999999997E-2</v>
      </c>
      <c r="BS115" s="146">
        <v>7.3999999999999996E-2</v>
      </c>
      <c r="BT115" s="146">
        <v>9.0999999999999998E-2</v>
      </c>
      <c r="BV115" s="15">
        <v>2067</v>
      </c>
      <c r="BW115" s="22">
        <f>BW114*IF(Simulation!$D$35="SMPT",1+$E115,IF(Simulation!$D$35="PRIX",1+$B115))</f>
        <v>38625.690897210967</v>
      </c>
      <c r="BX115" s="23">
        <f>BX114*IF(Simulation!$D$35="SMPT",1+$E115,IF(Simulation!$D$35="PRIX",1+$B115))</f>
        <v>50495.917505508121</v>
      </c>
      <c r="BY115" s="23">
        <f>BY114*IF(Simulation!$D$35="SMPT",1+$E115,IF(Simulation!$D$35="PRIX",1+$B115))</f>
        <v>78363.801692261637</v>
      </c>
      <c r="BZ115" s="5"/>
      <c r="CA115" s="146">
        <v>0</v>
      </c>
      <c r="CB115" s="146">
        <f t="shared" si="41"/>
        <v>4.2999999999999997E-2</v>
      </c>
      <c r="CC115" s="146">
        <f t="shared" si="42"/>
        <v>7.3999999999999996E-2</v>
      </c>
      <c r="CD115" s="146">
        <f t="shared" si="43"/>
        <v>9.0999999999999998E-2</v>
      </c>
      <c r="CE115" s="146">
        <f t="shared" si="43"/>
        <v>3.2000000000000001E-2</v>
      </c>
      <c r="CG115" s="15">
        <v>2067</v>
      </c>
      <c r="CH115" s="317">
        <f t="shared" si="57"/>
        <v>9.1999999999999998E-2</v>
      </c>
      <c r="CI115" s="311">
        <f t="shared" si="25"/>
        <v>6.8000000000000005E-2</v>
      </c>
      <c r="CJ115" s="311">
        <f t="shared" si="26"/>
        <v>5.0000000000000001E-3</v>
      </c>
      <c r="CK115" s="311">
        <f t="shared" si="26"/>
        <v>0.98250000000000004</v>
      </c>
      <c r="CL115" s="313">
        <f t="shared" si="27"/>
        <v>0</v>
      </c>
      <c r="CM115" s="313">
        <v>0</v>
      </c>
      <c r="CN115" s="313">
        <v>0</v>
      </c>
      <c r="CO115" s="318">
        <f t="shared" si="28"/>
        <v>2.4000000000000001E-4</v>
      </c>
    </row>
    <row r="116" spans="1:93" x14ac:dyDescent="0.25">
      <c r="A116" s="15">
        <v>2068</v>
      </c>
      <c r="B116" s="54">
        <f>IF($F$1=1.8%,LOOKUP($A116,Prix!B$6:B$127,Prix!$G$6:$G$127),IF($F$1=1.5%,LOOKUP($A116,Prix!B$6:B$127,Prix!$H$6:$H$127),IF($F$1=1.3%,LOOKUP($A116,Prix!B$6:B$127,Prix!$I$6:$I$127),LOOKUP($A116,Prix!B$6:B$127,Prix!$J$6:$J$127))))</f>
        <v>1.7500000000000002E-2</v>
      </c>
      <c r="C116" s="7">
        <f t="shared" si="59"/>
        <v>2.2213729256980166</v>
      </c>
      <c r="D116" s="5">
        <f>IF($F$1=1.8%,LOOKUP($A116,SMPT!$B$6:$B$127,SMPT!$C$6:$C$127),IF($F$1=1.5%,LOOKUP($A116,SMPT!$B$6:$B$127,SMPT!$D$6:$D$127),IF($F$1=1.3%,LOOKUP($A116,SMPT!$B$6:$B$127,SMPT!$E$6:$E$127),LOOKUP($A116,SMPT!$B$6:$B$127,SMPT!$F$6:$F$127))))</f>
        <v>155477.42127015218</v>
      </c>
      <c r="E116" s="17">
        <f t="shared" si="34"/>
        <v>3.0727500000000019E-2</v>
      </c>
      <c r="F116" s="60">
        <f>IF($F$1=1.8%,LOOKUP($A116,SMIC!$B$6:$B$125,SMIC!$C$6:$C$125),IF($F$1=1.5%,LOOKUP($A116,SMIC!$B$6:$B$125,SMIC!$D$6:$D$125),IF($F$1=1.3%,LOOKUP($A116,SMIC!$B$6:$B$125,SMIC!$E$6:$E$125),LOOKUP($A116,SMIC!$B$6:$B$125,SMIC!$F$6:$F$125))))</f>
        <v>69119.852736558489</v>
      </c>
      <c r="G116" s="153">
        <f t="shared" si="29"/>
        <v>4.2330919331846042</v>
      </c>
      <c r="H116" s="357">
        <f t="shared" si="23"/>
        <v>3.0751964085297345E-2</v>
      </c>
      <c r="I116" s="15">
        <v>2068</v>
      </c>
      <c r="J116" s="13">
        <f t="shared" si="60"/>
        <v>78979.757737451684</v>
      </c>
      <c r="K116" s="65">
        <f t="shared" si="44"/>
        <v>0.17749999999999999</v>
      </c>
      <c r="L116" s="65">
        <f t="shared" si="36"/>
        <v>0.10450000000000001</v>
      </c>
      <c r="M116" s="65">
        <f t="shared" si="37"/>
        <v>7.2999999999999982E-2</v>
      </c>
      <c r="N116" s="65">
        <f t="shared" si="16"/>
        <v>2.3000000000000003E-2</v>
      </c>
      <c r="O116" s="65">
        <f>IF(Simulation!$D$43="Oui",$Q116,0)</f>
        <v>1.9000000000000003E-2</v>
      </c>
      <c r="P116" s="65">
        <f>IF(Simulation!$D$43="Oui",$R116,0)</f>
        <v>4.0000000000000001E-3</v>
      </c>
      <c r="Q116" s="678">
        <f t="shared" si="38"/>
        <v>1.9000000000000003E-2</v>
      </c>
      <c r="R116" s="678">
        <f t="shared" si="38"/>
        <v>4.0000000000000001E-3</v>
      </c>
      <c r="S116" s="56">
        <f>IF($F$1=1.8%,LOOKUP($A116,Sal_valid!$B$6:$B$127,Sal_valid!$C$6:$C$127),IF($F$1=1.5%,LOOKUP($A116,Sal_valid!$B$6:$B$127,Sal_valid!$D$6:$D$127),IF($F$1=1.3%,LOOKUP($A116,Sal_valid!$B$6:$B$127,Sal_valid!$E$6:$E$127),LOOKUP($A116,Sal_valid!$B$6:$B$127,Sal_valid!$F$6:$F$127))))</f>
        <v>5696.4891166427287</v>
      </c>
      <c r="T116" s="76">
        <f>IF(Simulation!$D$33="Prix",Revalo_RB!$D128,Barèmes!$E116)</f>
        <v>1.7500000000000002E-2</v>
      </c>
      <c r="U116" s="76">
        <f>IF(Simulation!$D$34="Prix",Revalo_RB!$H128,Barèmes!$E116)</f>
        <v>1.7500000000000002E-2</v>
      </c>
      <c r="V116" s="56">
        <f>IF($F$1=1.8%,LOOKUP($A116,PSS!$B$6:$B$127,PSS!$C$6:$C$127),IF($F$1=1.5%,LOOKUP($A116,PSS!$B$6:$B$127,PSS!$D$6:$D$127),IF($F$1=1.3%,LOOKUP($A116,PSS!$B$6:$B$127,PSS!$E$6:$E$127),LOOKUP($A116,PSS!$B$6:$B$127,PSS!$F$6:$F$127))))</f>
        <v>165312</v>
      </c>
      <c r="W116" s="56">
        <f>IF($F$1=1.8%,LOOKUP($A116,Smic_AVPF!$B$6:$B$104,Smic_AVPF!$C$6:$C$104),IF($F$1=1.5%,LOOKUP($A116,Smic_AVPF!$B$6:$B$104,Smic_AVPF!$D$6:$D$104),IF($F$1=1.3%,LOOKUP($A116,Smic_AVPF!$B$6:$B$104,Smic_AVPF!$E$6:$E$104),LOOKUP($A116,Smic_AVPF!$B$6:$B$104,Smic_AVPF!$F$6:$F$104))))</f>
        <v>76105.992567074602</v>
      </c>
      <c r="X116" s="56">
        <f>IF(Simulation!$D$32="SMPT",(1+$E116)*X115,IF(Simulation!$D$32="PRIX",Minima!$O65))</f>
        <v>17199.340581790759</v>
      </c>
      <c r="Y116" s="56">
        <f>IF(Simulation!$D$32="SMPT",(1+$E116)*Y115,IF(Simulation!$D$32="PRIX",Minima!$P65))</f>
        <v>18794.172297468878</v>
      </c>
      <c r="Z116" s="56">
        <f t="shared" si="45"/>
        <v>32063.697965008403</v>
      </c>
      <c r="AA116" s="58"/>
      <c r="AB116" s="15">
        <v>2068</v>
      </c>
      <c r="AC116" s="64">
        <f t="shared" si="46"/>
        <v>6.2E-2</v>
      </c>
      <c r="AD116" s="65">
        <f t="shared" si="39"/>
        <v>3.7200000000000004E-2</v>
      </c>
      <c r="AE116" s="65">
        <f t="shared" si="47"/>
        <v>2.4799999999999996E-2</v>
      </c>
      <c r="AF116" s="65">
        <f t="shared" si="48"/>
        <v>0.17</v>
      </c>
      <c r="AG116" s="65">
        <f t="shared" si="40"/>
        <v>0.10200000000000001</v>
      </c>
      <c r="AH116" s="65">
        <f t="shared" si="49"/>
        <v>6.8000000000000005E-2</v>
      </c>
      <c r="AI116" s="66">
        <f t="shared" si="50"/>
        <v>1.27</v>
      </c>
      <c r="AJ116" s="66"/>
      <c r="AK116" s="66"/>
      <c r="AL116" s="65">
        <f t="shared" si="20"/>
        <v>3.4999999999999996E-3</v>
      </c>
      <c r="AM116" s="65">
        <f>IF(Simulation!$D$42="Oui",Barèmes!$AO116,0)</f>
        <v>2.0999999999999999E-3</v>
      </c>
      <c r="AN116" s="65">
        <f>IF(Simulation!$D$42="Oui",Barèmes!$AP116,0)</f>
        <v>1.3999999999999998E-3</v>
      </c>
      <c r="AO116" s="678">
        <f t="shared" si="51"/>
        <v>2.0999999999999999E-3</v>
      </c>
      <c r="AP116" s="678">
        <f t="shared" si="52"/>
        <v>1.3999999999999998E-3</v>
      </c>
      <c r="AQ116" s="65">
        <f t="shared" si="15"/>
        <v>2.1499999999999998E-2</v>
      </c>
      <c r="AR116" s="65">
        <f>IF(Simulation!$D$42="Oui",Barèmes!$AT116,0)</f>
        <v>1.29E-2</v>
      </c>
      <c r="AS116" s="65">
        <f>IF(Simulation!$D$42="Oui",Barèmes!$AU116,0)</f>
        <v>8.6E-3</v>
      </c>
      <c r="AT116" s="678">
        <f t="shared" si="53"/>
        <v>1.29E-2</v>
      </c>
      <c r="AU116" s="678">
        <f t="shared" si="54"/>
        <v>8.6E-3</v>
      </c>
      <c r="AV116" s="65">
        <f t="shared" si="21"/>
        <v>2.7000000000000003E-2</v>
      </c>
      <c r="AW116" s="65">
        <f>IF(Simulation!$D$42="Oui",Barèmes!$AY116,0)</f>
        <v>1.6200000000000003E-2</v>
      </c>
      <c r="AX116" s="65">
        <f>IF(Simulation!$D$42="Oui",Barèmes!$AZ116,0)</f>
        <v>1.0800000000000001E-2</v>
      </c>
      <c r="AY116" s="678">
        <f t="shared" si="55"/>
        <v>1.6200000000000003E-2</v>
      </c>
      <c r="AZ116" s="678">
        <f t="shared" si="56"/>
        <v>1.0800000000000001E-2</v>
      </c>
      <c r="BA116" s="69">
        <f>IF($F$1=1.8%,LOOKUP($A116,'AGIRC-ARRCO'!$B$6:$B$57,'AGIRC-ARRCO'!$C$6:$C$57),IF($F$1=1.5%,LOOKUP($A116,'AGIRC-ARRCO'!$B$6:$B$57,'AGIRC-ARRCO'!$D$6:$D$57),IF($F$1=1.3%,LOOKUP($A116,'AGIRC-ARRCO'!$B$6:$B$57,'AGIRC-ARRCO'!$E$6:$E$57),LOOKUP($A116,'AGIRC-ARRCO'!$B$6:$B$57,'AGIRC-ARRCO'!$F$6:$F$57))))</f>
        <v>47.038899999999998</v>
      </c>
      <c r="BB116" s="69"/>
      <c r="BC116" s="69"/>
      <c r="BD116" s="69">
        <f>IF($F$1=1.8%,LOOKUP($A116,'AGIRC-ARRCO'!$B$6:$B$57,'AGIRC-ARRCO'!$G$6:$G$57),IF($F$1=1.5%,LOOKUP($A116,'AGIRC-ARRCO'!$B$6:$B$57,'AGIRC-ARRCO'!$H$6:$H$57),IF($F$1=1.3%,LOOKUP($A116,'AGIRC-ARRCO'!$B$6:$B$57,'AGIRC-ARRCO'!$I$6:$I$57),LOOKUP($A116,'AGIRC-ARRCO'!$B$6:$B$57,'AGIRC-ARRCO'!$J$6:$J$57))))</f>
        <v>3.0596000000000001</v>
      </c>
      <c r="BE116" s="69"/>
      <c r="BF116" s="69"/>
      <c r="BG116" s="71">
        <f t="shared" si="30"/>
        <v>3.011683333333333</v>
      </c>
      <c r="BH116" s="71"/>
      <c r="BI116" s="71"/>
      <c r="BJ116" s="18">
        <f t="shared" si="58"/>
        <v>5039.1713072203875</v>
      </c>
      <c r="BL116" s="15">
        <v>2068</v>
      </c>
      <c r="BM116" s="22">
        <f>BM115*IF(Simulation!$D$35="SMPT",1+$E116,IF(Simulation!$D$35="PRIX",1+$B116))</f>
        <v>25620.177982062971</v>
      </c>
      <c r="BN116" s="23">
        <f>BN115*IF(Simulation!$D$35="SMPT",1+$E116,IF(Simulation!$D$35="PRIX",1+$B116))</f>
        <v>33493.980927812678</v>
      </c>
      <c r="BO116" s="23">
        <f>BO115*IF(Simulation!$D$35="SMPT",1+$E116,IF(Simulation!$D$35="PRIX",1+$B116))</f>
        <v>51981.472613326529</v>
      </c>
      <c r="BP116" s="5"/>
      <c r="BQ116" s="146">
        <v>0</v>
      </c>
      <c r="BR116" s="146">
        <v>4.2999999999999997E-2</v>
      </c>
      <c r="BS116" s="146">
        <v>7.3999999999999996E-2</v>
      </c>
      <c r="BT116" s="146">
        <v>9.0999999999999998E-2</v>
      </c>
      <c r="BV116" s="15">
        <v>2068</v>
      </c>
      <c r="BW116" s="22">
        <f>BW115*IF(Simulation!$D$35="SMPT",1+$E116,IF(Simulation!$D$35="PRIX",1+$B116))</f>
        <v>39301.640487912162</v>
      </c>
      <c r="BX116" s="23">
        <f>BX115*IF(Simulation!$D$35="SMPT",1+$E116,IF(Simulation!$D$35="PRIX",1+$B116))</f>
        <v>51379.596061854514</v>
      </c>
      <c r="BY116" s="23">
        <f>BY115*IF(Simulation!$D$35="SMPT",1+$E116,IF(Simulation!$D$35="PRIX",1+$B116))</f>
        <v>79735.168221876214</v>
      </c>
      <c r="BZ116" s="5"/>
      <c r="CA116" s="146">
        <v>0</v>
      </c>
      <c r="CB116" s="146">
        <f t="shared" si="41"/>
        <v>4.2999999999999997E-2</v>
      </c>
      <c r="CC116" s="146">
        <f t="shared" si="42"/>
        <v>7.3999999999999996E-2</v>
      </c>
      <c r="CD116" s="146">
        <f t="shared" si="43"/>
        <v>9.0999999999999998E-2</v>
      </c>
      <c r="CE116" s="146">
        <f t="shared" si="43"/>
        <v>3.2000000000000001E-2</v>
      </c>
      <c r="CG116" s="15">
        <v>2068</v>
      </c>
      <c r="CH116" s="317">
        <f t="shared" si="57"/>
        <v>9.1999999999999998E-2</v>
      </c>
      <c r="CI116" s="311">
        <f t="shared" si="25"/>
        <v>6.8000000000000005E-2</v>
      </c>
      <c r="CJ116" s="311">
        <f t="shared" si="26"/>
        <v>5.0000000000000001E-3</v>
      </c>
      <c r="CK116" s="311">
        <f t="shared" si="26"/>
        <v>0.98250000000000004</v>
      </c>
      <c r="CL116" s="313">
        <f t="shared" si="27"/>
        <v>0</v>
      </c>
      <c r="CM116" s="313">
        <v>0</v>
      </c>
      <c r="CN116" s="313">
        <v>0</v>
      </c>
      <c r="CO116" s="318">
        <f t="shared" si="28"/>
        <v>2.4000000000000001E-4</v>
      </c>
    </row>
    <row r="117" spans="1:93" x14ac:dyDescent="0.25">
      <c r="A117" s="15">
        <v>2069</v>
      </c>
      <c r="B117" s="54">
        <f>IF($F$1=1.8%,LOOKUP($A117,Prix!B$6:B$127,Prix!$G$6:$G$127),IF($F$1=1.5%,LOOKUP($A117,Prix!B$6:B$127,Prix!$H$6:$H$127),IF($F$1=1.3%,LOOKUP($A117,Prix!B$6:B$127,Prix!$I$6:$I$127),LOOKUP($A117,Prix!B$6:B$127,Prix!$J$6:$J$127))))</f>
        <v>1.7500000000000002E-2</v>
      </c>
      <c r="C117" s="7">
        <f t="shared" si="59"/>
        <v>2.2602469518977322</v>
      </c>
      <c r="D117" s="5">
        <f>IF($F$1=1.8%,LOOKUP($A117,SMPT!$B$6:$B$127,SMPT!$C$6:$C$127),IF($F$1=1.5%,LOOKUP($A117,SMPT!$B$6:$B$127,SMPT!$D$6:$D$127),IF($F$1=1.3%,LOOKUP($A117,SMPT!$B$6:$B$127,SMPT!$E$6:$E$127),LOOKUP($A117,SMPT!$B$6:$B$127,SMPT!$F$6:$F$127))))</f>
        <v>160254.85373223078</v>
      </c>
      <c r="E117" s="17">
        <f t="shared" si="34"/>
        <v>3.0727500000000019E-2</v>
      </c>
      <c r="F117" s="60">
        <f>IF($F$1=1.8%,LOOKUP($A117,SMIC!$B$6:$B$125,SMIC!$C$6:$C$125),IF($F$1=1.5%,LOOKUP($A117,SMIC!$B$6:$B$125,SMIC!$D$6:$D$125),IF($F$1=1.3%,LOOKUP($A117,SMIC!$B$6:$B$125,SMIC!$E$6:$E$125),LOOKUP($A117,SMIC!$B$6:$B$125,SMIC!$F$6:$F$125))))</f>
        <v>71243.733011521093</v>
      </c>
      <c r="G117" s="153">
        <f t="shared" si="29"/>
        <v>4.3631642655615339</v>
      </c>
      <c r="H117" s="357">
        <f t="shared" si="23"/>
        <v>3.0778164924506468E-2</v>
      </c>
      <c r="I117" s="15">
        <v>2069</v>
      </c>
      <c r="J117" s="13">
        <f t="shared" si="60"/>
        <v>81406.608243329247</v>
      </c>
      <c r="K117" s="65">
        <f t="shared" si="44"/>
        <v>0.17749999999999999</v>
      </c>
      <c r="L117" s="65">
        <f t="shared" si="36"/>
        <v>0.10450000000000001</v>
      </c>
      <c r="M117" s="65">
        <f t="shared" si="37"/>
        <v>7.2999999999999982E-2</v>
      </c>
      <c r="N117" s="65">
        <f t="shared" si="16"/>
        <v>2.3000000000000003E-2</v>
      </c>
      <c r="O117" s="65">
        <f>IF(Simulation!$D$43="Oui",$Q117,0)</f>
        <v>1.9000000000000003E-2</v>
      </c>
      <c r="P117" s="65">
        <f>IF(Simulation!$D$43="Oui",$R117,0)</f>
        <v>4.0000000000000001E-3</v>
      </c>
      <c r="Q117" s="678">
        <f t="shared" si="38"/>
        <v>1.9000000000000003E-2</v>
      </c>
      <c r="R117" s="678">
        <f t="shared" si="38"/>
        <v>4.0000000000000001E-3</v>
      </c>
      <c r="S117" s="56">
        <f>IF($F$1=1.8%,LOOKUP($A117,Sal_valid!$B$6:$B$127,Sal_valid!$C$6:$C$127),IF($F$1=1.5%,LOOKUP($A117,Sal_valid!$B$6:$B$127,Sal_valid!$D$6:$D$127),IF($F$1=1.3%,LOOKUP($A117,Sal_valid!$B$6:$B$127,Sal_valid!$E$6:$E$127),LOOKUP($A117,Sal_valid!$B$6:$B$127,Sal_valid!$F$6:$F$127))))</f>
        <v>5871.5279859743687</v>
      </c>
      <c r="T117" s="76">
        <f>IF(Simulation!$D$33="Prix",Revalo_RB!$D129,Barèmes!$E117)</f>
        <v>1.7500000000000002E-2</v>
      </c>
      <c r="U117" s="76">
        <f>IF(Simulation!$D$34="Prix",Revalo_RB!$H129,Barèmes!$E117)</f>
        <v>1.7500000000000002E-2</v>
      </c>
      <c r="V117" s="56">
        <f>IF($F$1=1.8%,LOOKUP($A117,PSS!$B$6:$B$127,PSS!$C$6:$C$127),IF($F$1=1.5%,LOOKUP($A117,PSS!$B$6:$B$127,PSS!$D$6:$D$127),IF($F$1=1.3%,LOOKUP($A117,PSS!$B$6:$B$127,PSS!$E$6:$E$127),LOOKUP($A117,PSS!$B$6:$B$127,PSS!$F$6:$F$127))))</f>
        <v>170400</v>
      </c>
      <c r="W117" s="56">
        <f>IF($F$1=1.8%,LOOKUP($A117,Smic_AVPF!$B$6:$B$104,Smic_AVPF!$C$6:$C$104),IF($F$1=1.5%,LOOKUP($A117,Smic_AVPF!$B$6:$B$104,Smic_AVPF!$D$6:$D$104),IF($F$1=1.3%,LOOKUP($A117,Smic_AVPF!$B$6:$B$104,Smic_AVPF!$E$6:$E$104),LOOKUP($A117,Smic_AVPF!$B$6:$B$104,Smic_AVPF!$F$6:$F$104))))</f>
        <v>78444.53945367939</v>
      </c>
      <c r="X117" s="56">
        <f>IF(Simulation!$D$32="SMPT",(1+$E117)*X116,IF(Simulation!$D$32="PRIX",Minima!$O66))</f>
        <v>17500.329041972098</v>
      </c>
      <c r="Y117" s="56">
        <f>IF(Simulation!$D$32="SMPT",(1+$E117)*Y116,IF(Simulation!$D$32="PRIX",Minima!$P66))</f>
        <v>19123.070312674587</v>
      </c>
      <c r="Z117" s="56">
        <f t="shared" si="45"/>
        <v>32624.812679396055</v>
      </c>
      <c r="AA117" s="58"/>
      <c r="AB117" s="15">
        <v>2069</v>
      </c>
      <c r="AC117" s="64">
        <f t="shared" si="46"/>
        <v>6.2E-2</v>
      </c>
      <c r="AD117" s="65">
        <f t="shared" si="39"/>
        <v>3.7200000000000004E-2</v>
      </c>
      <c r="AE117" s="65">
        <f t="shared" si="47"/>
        <v>2.4799999999999996E-2</v>
      </c>
      <c r="AF117" s="65">
        <f t="shared" si="48"/>
        <v>0.17</v>
      </c>
      <c r="AG117" s="65">
        <f t="shared" si="40"/>
        <v>0.10200000000000001</v>
      </c>
      <c r="AH117" s="65">
        <f t="shared" si="49"/>
        <v>6.8000000000000005E-2</v>
      </c>
      <c r="AI117" s="66">
        <f t="shared" si="50"/>
        <v>1.27</v>
      </c>
      <c r="AJ117" s="66"/>
      <c r="AK117" s="66"/>
      <c r="AL117" s="65">
        <f t="shared" si="20"/>
        <v>3.4999999999999996E-3</v>
      </c>
      <c r="AM117" s="65">
        <f>IF(Simulation!$D$42="Oui",Barèmes!$AO117,0)</f>
        <v>2.0999999999999999E-3</v>
      </c>
      <c r="AN117" s="65">
        <f>IF(Simulation!$D$42="Oui",Barèmes!$AP117,0)</f>
        <v>1.3999999999999998E-3</v>
      </c>
      <c r="AO117" s="678">
        <f t="shared" si="51"/>
        <v>2.0999999999999999E-3</v>
      </c>
      <c r="AP117" s="678">
        <f t="shared" si="52"/>
        <v>1.3999999999999998E-3</v>
      </c>
      <c r="AQ117" s="65">
        <f t="shared" si="15"/>
        <v>2.1499999999999998E-2</v>
      </c>
      <c r="AR117" s="65">
        <f>IF(Simulation!$D$42="Oui",Barèmes!$AT117,0)</f>
        <v>1.29E-2</v>
      </c>
      <c r="AS117" s="65">
        <f>IF(Simulation!$D$42="Oui",Barèmes!$AU117,0)</f>
        <v>8.6E-3</v>
      </c>
      <c r="AT117" s="678">
        <f t="shared" si="53"/>
        <v>1.29E-2</v>
      </c>
      <c r="AU117" s="678">
        <f t="shared" si="54"/>
        <v>8.6E-3</v>
      </c>
      <c r="AV117" s="65">
        <f t="shared" si="21"/>
        <v>2.7000000000000003E-2</v>
      </c>
      <c r="AW117" s="65">
        <f>IF(Simulation!$D$42="Oui",Barèmes!$AY117,0)</f>
        <v>1.6200000000000003E-2</v>
      </c>
      <c r="AX117" s="65">
        <f>IF(Simulation!$D$42="Oui",Barèmes!$AZ117,0)</f>
        <v>1.0800000000000001E-2</v>
      </c>
      <c r="AY117" s="678">
        <f t="shared" si="55"/>
        <v>1.6200000000000003E-2</v>
      </c>
      <c r="AZ117" s="678">
        <f t="shared" si="56"/>
        <v>1.0800000000000001E-2</v>
      </c>
      <c r="BA117" s="69">
        <f>IF($F$1=1.8%,LOOKUP($A117,'AGIRC-ARRCO'!$B$6:$B$57,'AGIRC-ARRCO'!$C$6:$C$57),IF($F$1=1.5%,LOOKUP($A117,'AGIRC-ARRCO'!$B$6:$B$57,'AGIRC-ARRCO'!$D$6:$D$57),IF($F$1=1.3%,LOOKUP($A117,'AGIRC-ARRCO'!$B$6:$B$57,'AGIRC-ARRCO'!$E$6:$E$57),LOOKUP($A117,'AGIRC-ARRCO'!$B$6:$B$57,'AGIRC-ARRCO'!$F$6:$F$57))))</f>
        <v>47.942</v>
      </c>
      <c r="BB117" s="69"/>
      <c r="BC117" s="69"/>
      <c r="BD117" s="69">
        <f>IF($F$1=1.8%,LOOKUP($A117,'AGIRC-ARRCO'!$B$6:$B$57,'AGIRC-ARRCO'!$G$6:$G$57),IF($F$1=1.5%,LOOKUP($A117,'AGIRC-ARRCO'!$B$6:$B$57,'AGIRC-ARRCO'!$H$6:$H$57),IF($F$1=1.3%,LOOKUP($A117,'AGIRC-ARRCO'!$B$6:$B$57,'AGIRC-ARRCO'!$I$6:$I$57),LOOKUP($A117,'AGIRC-ARRCO'!$B$6:$B$57,'AGIRC-ARRCO'!$J$6:$J$57))))</f>
        <v>3.1181999999999999</v>
      </c>
      <c r="BE117" s="69"/>
      <c r="BF117" s="69"/>
      <c r="BG117" s="71">
        <f t="shared" si="30"/>
        <v>3.0693666666666668</v>
      </c>
      <c r="BH117" s="71"/>
      <c r="BI117" s="71"/>
      <c r="BJ117" s="18">
        <f t="shared" si="58"/>
        <v>5135.6857008022653</v>
      </c>
      <c r="BL117" s="15">
        <v>2069</v>
      </c>
      <c r="BM117" s="22">
        <f>BM116*IF(Simulation!$D$35="SMPT",1+$E117,IF(Simulation!$D$35="PRIX",1+$B117))</f>
        <v>26068.531096749073</v>
      </c>
      <c r="BN117" s="23">
        <f>BN116*IF(Simulation!$D$35="SMPT",1+$E117,IF(Simulation!$D$35="PRIX",1+$B117))</f>
        <v>34080.125594049401</v>
      </c>
      <c r="BO117" s="23">
        <f>BO116*IF(Simulation!$D$35="SMPT",1+$E117,IF(Simulation!$D$35="PRIX",1+$B117))</f>
        <v>52891.148384059743</v>
      </c>
      <c r="BP117" s="5"/>
      <c r="BQ117" s="146">
        <v>0</v>
      </c>
      <c r="BR117" s="146">
        <v>4.2999999999999997E-2</v>
      </c>
      <c r="BS117" s="146">
        <v>7.3999999999999996E-2</v>
      </c>
      <c r="BT117" s="146">
        <v>9.0999999999999998E-2</v>
      </c>
      <c r="BV117" s="15">
        <v>2069</v>
      </c>
      <c r="BW117" s="22">
        <f>BW116*IF(Simulation!$D$35="SMPT",1+$E117,IF(Simulation!$D$35="PRIX",1+$B117))</f>
        <v>39989.419196450624</v>
      </c>
      <c r="BX117" s="23">
        <f>BX116*IF(Simulation!$D$35="SMPT",1+$E117,IF(Simulation!$D$35="PRIX",1+$B117))</f>
        <v>52278.738992936975</v>
      </c>
      <c r="BY117" s="23">
        <f>BY116*IF(Simulation!$D$35="SMPT",1+$E117,IF(Simulation!$D$35="PRIX",1+$B117))</f>
        <v>81130.533665759052</v>
      </c>
      <c r="BZ117" s="5"/>
      <c r="CA117" s="146">
        <v>0</v>
      </c>
      <c r="CB117" s="146">
        <f t="shared" si="41"/>
        <v>4.2999999999999997E-2</v>
      </c>
      <c r="CC117" s="146">
        <f t="shared" si="42"/>
        <v>7.3999999999999996E-2</v>
      </c>
      <c r="CD117" s="146">
        <f t="shared" si="43"/>
        <v>9.0999999999999998E-2</v>
      </c>
      <c r="CE117" s="146">
        <f t="shared" si="43"/>
        <v>3.2000000000000001E-2</v>
      </c>
      <c r="CG117" s="15">
        <v>2069</v>
      </c>
      <c r="CH117" s="317">
        <f t="shared" si="57"/>
        <v>9.1999999999999998E-2</v>
      </c>
      <c r="CI117" s="311">
        <f t="shared" si="25"/>
        <v>6.8000000000000005E-2</v>
      </c>
      <c r="CJ117" s="311">
        <f t="shared" si="26"/>
        <v>5.0000000000000001E-3</v>
      </c>
      <c r="CK117" s="311">
        <f t="shared" si="26"/>
        <v>0.98250000000000004</v>
      </c>
      <c r="CL117" s="313">
        <f t="shared" si="27"/>
        <v>0</v>
      </c>
      <c r="CM117" s="313">
        <v>0</v>
      </c>
      <c r="CN117" s="313">
        <v>0</v>
      </c>
      <c r="CO117" s="318">
        <f t="shared" si="28"/>
        <v>2.4000000000000001E-4</v>
      </c>
    </row>
    <row r="118" spans="1:93" x14ac:dyDescent="0.25">
      <c r="A118" s="15">
        <v>2070</v>
      </c>
      <c r="B118" s="54">
        <f>IF($F$1=1.8%,LOOKUP($A118,Prix!B$6:B$127,Prix!$G$6:$G$127),IF($F$1=1.5%,LOOKUP($A118,Prix!B$6:B$127,Prix!$H$6:$H$127),IF($F$1=1.3%,LOOKUP($A118,Prix!B$6:B$127,Prix!$I$6:$I$127),LOOKUP($A118,Prix!B$6:B$127,Prix!$J$6:$J$127))))</f>
        <v>1.7500000000000002E-2</v>
      </c>
      <c r="C118" s="7">
        <f t="shared" si="59"/>
        <v>2.2998012735559428</v>
      </c>
      <c r="D118" s="5">
        <f>IF($F$1=1.8%,LOOKUP($A118,SMPT!$B$6:$B$127,SMPT!$C$6:$C$127),IF($F$1=1.5%,LOOKUP($A118,SMPT!$B$6:$B$127,SMPT!$D$6:$D$127),IF($F$1=1.3%,LOOKUP($A118,SMPT!$B$6:$B$127,SMPT!$E$6:$E$127),LOOKUP($A118,SMPT!$B$6:$B$127,SMPT!$F$6:$F$127))))</f>
        <v>165179.0847502879</v>
      </c>
      <c r="E118" s="17">
        <f t="shared" si="34"/>
        <v>3.0727500000000019E-2</v>
      </c>
      <c r="F118" s="60">
        <f>IF($F$1=1.8%,LOOKUP($A118,SMIC!$B$6:$B$125,SMIC!$C$6:$C$125),IF($F$1=1.5%,LOOKUP($A118,SMIC!$B$6:$B$125,SMIC!$D$6:$D$125),IF($F$1=1.3%,LOOKUP($A118,SMIC!$B$6:$B$125,SMIC!$E$6:$E$125),LOOKUP($A118,SMIC!$B$6:$B$125,SMIC!$F$6:$F$125))))</f>
        <v>73432.874817632619</v>
      </c>
      <c r="G118" s="153">
        <f t="shared" si="29"/>
        <v>4.497233395531576</v>
      </c>
      <c r="H118" s="357">
        <f t="shared" si="23"/>
        <v>3.0774647887323869E-2</v>
      </c>
      <c r="I118" s="15">
        <v>2070</v>
      </c>
      <c r="J118" s="13">
        <f t="shared" si="60"/>
        <v>83908.029798126154</v>
      </c>
      <c r="K118" s="65">
        <f t="shared" si="44"/>
        <v>0.17749999999999999</v>
      </c>
      <c r="L118" s="65">
        <f t="shared" si="36"/>
        <v>0.10450000000000001</v>
      </c>
      <c r="M118" s="65">
        <f t="shared" si="37"/>
        <v>7.2999999999999982E-2</v>
      </c>
      <c r="N118" s="65">
        <f t="shared" si="16"/>
        <v>2.3000000000000003E-2</v>
      </c>
      <c r="O118" s="65">
        <f>IF(Simulation!$D$43="Oui",$Q118,0)</f>
        <v>1.9000000000000003E-2</v>
      </c>
      <c r="P118" s="65">
        <f>IF(Simulation!$D$43="Oui",$R118,0)</f>
        <v>4.0000000000000001E-3</v>
      </c>
      <c r="Q118" s="678">
        <f t="shared" si="38"/>
        <v>1.9000000000000003E-2</v>
      </c>
      <c r="R118" s="678">
        <f t="shared" si="38"/>
        <v>4.0000000000000001E-3</v>
      </c>
      <c r="S118" s="56">
        <f>IF($F$1=1.8%,LOOKUP($A118,Sal_valid!$B$6:$B$127,Sal_valid!$C$6:$C$127),IF($F$1=1.5%,LOOKUP($A118,Sal_valid!$B$6:$B$127,Sal_valid!$D$6:$D$127),IF($F$1=1.3%,LOOKUP($A118,Sal_valid!$B$6:$B$127,Sal_valid!$E$6:$E$127),LOOKUP($A118,Sal_valid!$B$6:$B$127,Sal_valid!$F$6:$F$127))))</f>
        <v>6051.9453621633966</v>
      </c>
      <c r="T118" s="76">
        <f>IF(Simulation!$D$33="Prix",Revalo_RB!$D130,Barèmes!$E118)</f>
        <v>1.7500000000000002E-2</v>
      </c>
      <c r="U118" s="76">
        <f>IF(Simulation!$D$34="Prix",Revalo_RB!$H130,Barèmes!$E118)</f>
        <v>1.7500000000000002E-2</v>
      </c>
      <c r="V118" s="56">
        <f>IF($F$1=1.8%,LOOKUP($A118,PSS!$B$6:$B$127,PSS!$C$6:$C$127),IF($F$1=1.5%,LOOKUP($A118,PSS!$B$6:$B$127,PSS!$D$6:$D$127),IF($F$1=1.3%,LOOKUP($A118,PSS!$B$6:$B$127,PSS!$E$6:$E$127),LOOKUP($A118,PSS!$B$6:$B$127,PSS!$F$6:$F$127))))</f>
        <v>175644</v>
      </c>
      <c r="W118" s="56">
        <f>IF($F$1=1.8%,LOOKUP($A118,Smic_AVPF!$B$6:$B$104,Smic_AVPF!$C$6:$C$104),IF($F$1=1.5%,LOOKUP($A118,Smic_AVPF!$B$6:$B$104,Smic_AVPF!$D$6:$D$104),IF($F$1=1.3%,LOOKUP($A118,Smic_AVPF!$B$6:$B$104,Smic_AVPF!$E$6:$E$104),LOOKUP($A118,Smic_AVPF!$B$6:$B$104,Smic_AVPF!$F$6:$F$104))))</f>
        <v>80854.944039742317</v>
      </c>
      <c r="X118" s="56">
        <f>IF(Simulation!$D$32="SMPT",(1+$E118)*X117,IF(Simulation!$D$32="PRIX",Minima!$O67))</f>
        <v>17806.584800206612</v>
      </c>
      <c r="Y118" s="56">
        <f>IF(Simulation!$D$32="SMPT",(1+$E118)*Y117,IF(Simulation!$D$32="PRIX",Minima!$P67))</f>
        <v>19457.724043146394</v>
      </c>
      <c r="Z118" s="56">
        <f t="shared" si="45"/>
        <v>33195.746901285493</v>
      </c>
      <c r="AA118" s="58"/>
      <c r="AB118" s="15">
        <v>2070</v>
      </c>
      <c r="AC118" s="64">
        <f t="shared" si="46"/>
        <v>6.2E-2</v>
      </c>
      <c r="AD118" s="65">
        <f t="shared" si="39"/>
        <v>3.7200000000000004E-2</v>
      </c>
      <c r="AE118" s="65">
        <f t="shared" si="47"/>
        <v>2.4799999999999996E-2</v>
      </c>
      <c r="AF118" s="65">
        <f t="shared" si="48"/>
        <v>0.17</v>
      </c>
      <c r="AG118" s="65">
        <f t="shared" si="40"/>
        <v>0.10200000000000001</v>
      </c>
      <c r="AH118" s="65">
        <f t="shared" si="49"/>
        <v>6.8000000000000005E-2</v>
      </c>
      <c r="AI118" s="66">
        <f t="shared" si="50"/>
        <v>1.27</v>
      </c>
      <c r="AJ118" s="66"/>
      <c r="AK118" s="66"/>
      <c r="AL118" s="65">
        <f t="shared" si="20"/>
        <v>3.4999999999999996E-3</v>
      </c>
      <c r="AM118" s="65">
        <f>IF(Simulation!$D$42="Oui",Barèmes!$AO118,0)</f>
        <v>2.0999999999999999E-3</v>
      </c>
      <c r="AN118" s="65">
        <f>IF(Simulation!$D$42="Oui",Barèmes!$AP118,0)</f>
        <v>1.3999999999999998E-3</v>
      </c>
      <c r="AO118" s="678">
        <f t="shared" si="51"/>
        <v>2.0999999999999999E-3</v>
      </c>
      <c r="AP118" s="678">
        <f t="shared" si="52"/>
        <v>1.3999999999999998E-3</v>
      </c>
      <c r="AQ118" s="65">
        <f t="shared" si="15"/>
        <v>2.1499999999999998E-2</v>
      </c>
      <c r="AR118" s="65">
        <f>IF(Simulation!$D$42="Oui",Barèmes!$AT118,0)</f>
        <v>1.29E-2</v>
      </c>
      <c r="AS118" s="65">
        <f>IF(Simulation!$D$42="Oui",Barèmes!$AU118,0)</f>
        <v>8.6E-3</v>
      </c>
      <c r="AT118" s="678">
        <f t="shared" si="53"/>
        <v>1.29E-2</v>
      </c>
      <c r="AU118" s="678">
        <f t="shared" si="54"/>
        <v>8.6E-3</v>
      </c>
      <c r="AV118" s="65">
        <f t="shared" si="21"/>
        <v>2.7000000000000003E-2</v>
      </c>
      <c r="AW118" s="65">
        <f>IF(Simulation!$D$42="Oui",Barèmes!$AY118,0)</f>
        <v>1.6200000000000003E-2</v>
      </c>
      <c r="AX118" s="65">
        <f>IF(Simulation!$D$42="Oui",Barèmes!$AZ118,0)</f>
        <v>1.0800000000000001E-2</v>
      </c>
      <c r="AY118" s="678">
        <f t="shared" si="55"/>
        <v>1.6200000000000003E-2</v>
      </c>
      <c r="AZ118" s="678">
        <f t="shared" si="56"/>
        <v>1.0800000000000001E-2</v>
      </c>
      <c r="BA118" s="69">
        <f>IF($F$1=1.8%,LOOKUP($A118,'AGIRC-ARRCO'!$B$6:$B$57,'AGIRC-ARRCO'!$C$6:$C$57),IF($F$1=1.5%,LOOKUP($A118,'AGIRC-ARRCO'!$B$6:$B$57,'AGIRC-ARRCO'!$D$6:$D$57),IF($F$1=1.3%,LOOKUP($A118,'AGIRC-ARRCO'!$B$6:$B$57,'AGIRC-ARRCO'!$E$6:$E$57),LOOKUP($A118,'AGIRC-ARRCO'!$B$6:$B$57,'AGIRC-ARRCO'!$F$6:$F$57))))</f>
        <v>48.862499999999997</v>
      </c>
      <c r="BB118" s="69"/>
      <c r="BC118" s="69"/>
      <c r="BD118" s="69">
        <f>IF($F$1=1.8%,LOOKUP($A118,'AGIRC-ARRCO'!$B$6:$B$57,'AGIRC-ARRCO'!$G$6:$G$57),IF($F$1=1.5%,LOOKUP($A118,'AGIRC-ARRCO'!$B$6:$B$57,'AGIRC-ARRCO'!$H$6:$H$57),IF($F$1=1.3%,LOOKUP($A118,'AGIRC-ARRCO'!$B$6:$B$57,'AGIRC-ARRCO'!$I$6:$I$57),LOOKUP($A118,'AGIRC-ARRCO'!$B$6:$B$57,'AGIRC-ARRCO'!$J$6:$J$57))))</f>
        <v>3.1779000000000002</v>
      </c>
      <c r="BE118" s="69"/>
      <c r="BF118" s="69"/>
      <c r="BG118" s="71">
        <f t="shared" si="30"/>
        <v>3.1281499999999998</v>
      </c>
      <c r="BH118" s="71"/>
      <c r="BI118" s="71"/>
      <c r="BJ118" s="18">
        <f t="shared" si="58"/>
        <v>5234.0117980179339</v>
      </c>
      <c r="BL118" s="15">
        <v>2070</v>
      </c>
      <c r="BM118" s="22">
        <f>BM117*IF(Simulation!$D$35="SMPT",1+$E118,IF(Simulation!$D$35="PRIX",1+$B118))</f>
        <v>26524.730390942183</v>
      </c>
      <c r="BN118" s="23">
        <f>BN117*IF(Simulation!$D$35="SMPT",1+$E118,IF(Simulation!$D$35="PRIX",1+$B118))</f>
        <v>34676.527791945271</v>
      </c>
      <c r="BO118" s="23">
        <f>BO117*IF(Simulation!$D$35="SMPT",1+$E118,IF(Simulation!$D$35="PRIX",1+$B118))</f>
        <v>53816.743480780795</v>
      </c>
      <c r="BP118" s="5"/>
      <c r="BQ118" s="146">
        <v>0</v>
      </c>
      <c r="BR118" s="146">
        <v>4.2999999999999997E-2</v>
      </c>
      <c r="BS118" s="146">
        <v>7.3999999999999996E-2</v>
      </c>
      <c r="BT118" s="146">
        <v>9.0999999999999998E-2</v>
      </c>
      <c r="BV118" s="15">
        <v>2070</v>
      </c>
      <c r="BW118" s="22">
        <f>BW117*IF(Simulation!$D$35="SMPT",1+$E118,IF(Simulation!$D$35="PRIX",1+$B118))</f>
        <v>40689.234032388515</v>
      </c>
      <c r="BX118" s="23">
        <f>BX117*IF(Simulation!$D$35="SMPT",1+$E118,IF(Simulation!$D$35="PRIX",1+$B118))</f>
        <v>53193.616925313378</v>
      </c>
      <c r="BY118" s="23">
        <f>BY117*IF(Simulation!$D$35="SMPT",1+$E118,IF(Simulation!$D$35="PRIX",1+$B118))</f>
        <v>82550.318004909845</v>
      </c>
      <c r="BZ118" s="5"/>
      <c r="CA118" s="146">
        <v>0</v>
      </c>
      <c r="CB118" s="146">
        <f t="shared" si="41"/>
        <v>4.2999999999999997E-2</v>
      </c>
      <c r="CC118" s="146">
        <f t="shared" si="42"/>
        <v>7.3999999999999996E-2</v>
      </c>
      <c r="CD118" s="146">
        <f t="shared" si="43"/>
        <v>9.0999999999999998E-2</v>
      </c>
      <c r="CE118" s="146">
        <f t="shared" si="43"/>
        <v>3.2000000000000001E-2</v>
      </c>
      <c r="CG118" s="15">
        <v>2070</v>
      </c>
      <c r="CH118" s="317">
        <f t="shared" si="57"/>
        <v>9.1999999999999998E-2</v>
      </c>
      <c r="CI118" s="311">
        <f t="shared" si="25"/>
        <v>6.8000000000000005E-2</v>
      </c>
      <c r="CJ118" s="311">
        <f t="shared" si="26"/>
        <v>5.0000000000000001E-3</v>
      </c>
      <c r="CK118" s="311">
        <f t="shared" si="26"/>
        <v>0.98250000000000004</v>
      </c>
      <c r="CL118" s="313">
        <f t="shared" si="27"/>
        <v>0</v>
      </c>
      <c r="CM118" s="313">
        <v>0</v>
      </c>
      <c r="CN118" s="313">
        <v>0</v>
      </c>
      <c r="CO118" s="318">
        <f t="shared" si="28"/>
        <v>2.4000000000000001E-4</v>
      </c>
    </row>
    <row r="119" spans="1:93" x14ac:dyDescent="0.25">
      <c r="A119" s="15">
        <v>2071</v>
      </c>
      <c r="B119" s="55">
        <f>B118</f>
        <v>1.7500000000000002E-2</v>
      </c>
      <c r="C119" s="61">
        <f t="shared" si="59"/>
        <v>2.340047795843172</v>
      </c>
      <c r="D119" s="21">
        <f>D118*(1+E119)</f>
        <v>170254.62507695239</v>
      </c>
      <c r="E119" s="57">
        <f>E118</f>
        <v>3.0727500000000019E-2</v>
      </c>
      <c r="F119" s="21">
        <f>F118*D119/D118</f>
        <v>75689.283478591431</v>
      </c>
      <c r="G119" s="153">
        <f t="shared" si="29"/>
        <v>4.6354221346927726</v>
      </c>
      <c r="H119" s="357">
        <f t="shared" si="23"/>
        <v>3.0727500000000019E-2</v>
      </c>
      <c r="I119" s="15">
        <v>2071</v>
      </c>
      <c r="J119" s="13">
        <f t="shared" si="60"/>
        <v>86486.31378374809</v>
      </c>
      <c r="K119" s="65">
        <f t="shared" si="44"/>
        <v>0.17749999999999999</v>
      </c>
      <c r="L119" s="65">
        <f t="shared" si="36"/>
        <v>0.10450000000000001</v>
      </c>
      <c r="M119" s="65">
        <f t="shared" si="37"/>
        <v>7.2999999999999982E-2</v>
      </c>
      <c r="N119" s="65">
        <f t="shared" si="16"/>
        <v>2.3000000000000003E-2</v>
      </c>
      <c r="O119" s="65">
        <f>IF(Simulation!$D$43="Oui",$Q119,0)</f>
        <v>1.9000000000000003E-2</v>
      </c>
      <c r="P119" s="65">
        <f>IF(Simulation!$D$43="Oui",$R119,0)</f>
        <v>4.0000000000000001E-3</v>
      </c>
      <c r="Q119" s="678">
        <f t="shared" si="38"/>
        <v>1.9000000000000003E-2</v>
      </c>
      <c r="R119" s="678">
        <f t="shared" si="38"/>
        <v>4.0000000000000001E-3</v>
      </c>
      <c r="S119" s="21">
        <f>S118*(1+E119)</f>
        <v>6237.9065132792721</v>
      </c>
      <c r="T119" s="74">
        <f>T118</f>
        <v>1.7500000000000002E-2</v>
      </c>
      <c r="U119" s="74">
        <f>U118</f>
        <v>1.7500000000000002E-2</v>
      </c>
      <c r="V119" s="75">
        <f t="shared" ref="V119:V133" si="61">V118*D119/D118</f>
        <v>181041.10101000001</v>
      </c>
      <c r="W119" s="78">
        <f>W118*S119/S118</f>
        <v>83339.414332723492</v>
      </c>
      <c r="X119" s="78">
        <f>IF(Simulation!$D$32="SMPT",(1+$E119)*X118,X118*(1+$U119))</f>
        <v>18118.200034210229</v>
      </c>
      <c r="Y119" s="78">
        <f>IF(Simulation!$D$32="SMPT",(1+$E119)*Y118,Y118*(1+$U119))</f>
        <v>19798.234213901458</v>
      </c>
      <c r="Z119" s="78">
        <f t="shared" si="45"/>
        <v>33776.672472057995</v>
      </c>
      <c r="AA119" s="58"/>
      <c r="AB119" s="15">
        <v>2071</v>
      </c>
      <c r="AC119" s="64">
        <f t="shared" si="46"/>
        <v>6.2E-2</v>
      </c>
      <c r="AD119" s="65">
        <f t="shared" si="39"/>
        <v>3.7200000000000004E-2</v>
      </c>
      <c r="AE119" s="65">
        <f t="shared" si="47"/>
        <v>2.4799999999999996E-2</v>
      </c>
      <c r="AF119" s="65">
        <f t="shared" si="48"/>
        <v>0.17</v>
      </c>
      <c r="AG119" s="65">
        <f t="shared" si="40"/>
        <v>0.10200000000000001</v>
      </c>
      <c r="AH119" s="65">
        <f t="shared" si="49"/>
        <v>6.8000000000000005E-2</v>
      </c>
      <c r="AI119" s="66">
        <f t="shared" si="50"/>
        <v>1.27</v>
      </c>
      <c r="AJ119" s="66"/>
      <c r="AK119" s="66"/>
      <c r="AL119" s="65">
        <f t="shared" si="20"/>
        <v>3.4999999999999996E-3</v>
      </c>
      <c r="AM119" s="65">
        <f>IF(Simulation!$D$42="Oui",Barèmes!$AO119,0)</f>
        <v>2.0999999999999999E-3</v>
      </c>
      <c r="AN119" s="65">
        <f>IF(Simulation!$D$42="Oui",Barèmes!$AP119,0)</f>
        <v>1.3999999999999998E-3</v>
      </c>
      <c r="AO119" s="678">
        <f t="shared" si="51"/>
        <v>2.0999999999999999E-3</v>
      </c>
      <c r="AP119" s="678">
        <f t="shared" si="52"/>
        <v>1.3999999999999998E-3</v>
      </c>
      <c r="AQ119" s="65">
        <f t="shared" si="15"/>
        <v>2.1499999999999998E-2</v>
      </c>
      <c r="AR119" s="65">
        <f>IF(Simulation!$D$42="Oui",Barèmes!$AT119,0)</f>
        <v>1.29E-2</v>
      </c>
      <c r="AS119" s="65">
        <f>IF(Simulation!$D$42="Oui",Barèmes!$AU119,0)</f>
        <v>8.6E-3</v>
      </c>
      <c r="AT119" s="678">
        <f t="shared" si="53"/>
        <v>1.29E-2</v>
      </c>
      <c r="AU119" s="678">
        <f t="shared" si="54"/>
        <v>8.6E-3</v>
      </c>
      <c r="AV119" s="65">
        <f t="shared" si="21"/>
        <v>2.7000000000000003E-2</v>
      </c>
      <c r="AW119" s="65">
        <f>IF(Simulation!$D$42="Oui",Barèmes!$AY119,0)</f>
        <v>1.6200000000000003E-2</v>
      </c>
      <c r="AX119" s="65">
        <f>IF(Simulation!$D$42="Oui",Barèmes!$AZ119,0)</f>
        <v>1.0800000000000001E-2</v>
      </c>
      <c r="AY119" s="678">
        <f t="shared" si="55"/>
        <v>1.6200000000000003E-2</v>
      </c>
      <c r="AZ119" s="678">
        <f t="shared" si="56"/>
        <v>1.0800000000000001E-2</v>
      </c>
      <c r="BA119" s="70">
        <f>BA118*(1+$E119-0.0116)</f>
        <v>49.797117468749995</v>
      </c>
      <c r="BB119" s="70"/>
      <c r="BC119" s="70"/>
      <c r="BD119" s="70">
        <f>BD118*(1+$E119-0.0116)</f>
        <v>3.2386852822500001</v>
      </c>
      <c r="BE119" s="70"/>
      <c r="BF119" s="70"/>
      <c r="BG119" s="71">
        <f t="shared" si="30"/>
        <v>3.1880308803750004</v>
      </c>
      <c r="BH119" s="71"/>
      <c r="BI119" s="71"/>
      <c r="BJ119" s="18">
        <f t="shared" ref="BJ119:BJ148" si="62">BJ118*BD119/BD118</f>
        <v>5334.1253586845214</v>
      </c>
      <c r="BL119" s="15">
        <v>2071</v>
      </c>
      <c r="BM119" s="22">
        <f>BM118*IF(Simulation!$D$35="SMPT",1+$E119,IF(Simulation!$D$35="PRIX",1+$B119))</f>
        <v>26988.913172783672</v>
      </c>
      <c r="BN119" s="23">
        <f>BN118*IF(Simulation!$D$35="SMPT",1+$E119,IF(Simulation!$D$35="PRIX",1+$B119))</f>
        <v>35283.367028304318</v>
      </c>
      <c r="BO119" s="23">
        <f>BO118*IF(Simulation!$D$35="SMPT",1+$E119,IF(Simulation!$D$35="PRIX",1+$B119))</f>
        <v>54758.53649169446</v>
      </c>
      <c r="BP119" s="5"/>
      <c r="BQ119" s="146">
        <v>0</v>
      </c>
      <c r="BR119" s="146">
        <v>4.2999999999999997E-2</v>
      </c>
      <c r="BS119" s="146">
        <v>7.3999999999999996E-2</v>
      </c>
      <c r="BT119" s="146">
        <v>9.0999999999999998E-2</v>
      </c>
      <c r="BV119" s="15">
        <v>2071</v>
      </c>
      <c r="BW119" s="22">
        <f>BW118*IF(Simulation!$D$35="SMPT",1+$E119,IF(Simulation!$D$35="PRIX",1+$B119))</f>
        <v>41401.295627955318</v>
      </c>
      <c r="BX119" s="23">
        <f>BX118*IF(Simulation!$D$35="SMPT",1+$E119,IF(Simulation!$D$35="PRIX",1+$B119))</f>
        <v>54124.505221506362</v>
      </c>
      <c r="BY119" s="23">
        <f>BY118*IF(Simulation!$D$35="SMPT",1+$E119,IF(Simulation!$D$35="PRIX",1+$B119))</f>
        <v>83994.948569995773</v>
      </c>
      <c r="BZ119" s="5"/>
      <c r="CA119" s="146">
        <v>0</v>
      </c>
      <c r="CB119" s="146">
        <f t="shared" si="41"/>
        <v>4.2999999999999997E-2</v>
      </c>
      <c r="CC119" s="146">
        <f t="shared" si="42"/>
        <v>7.3999999999999996E-2</v>
      </c>
      <c r="CD119" s="146">
        <f t="shared" si="43"/>
        <v>9.0999999999999998E-2</v>
      </c>
      <c r="CE119" s="146">
        <f t="shared" si="43"/>
        <v>3.2000000000000001E-2</v>
      </c>
      <c r="CG119" s="15">
        <v>2071</v>
      </c>
      <c r="CH119" s="317">
        <f t="shared" si="57"/>
        <v>9.1999999999999998E-2</v>
      </c>
      <c r="CI119" s="311">
        <f t="shared" si="25"/>
        <v>6.8000000000000005E-2</v>
      </c>
      <c r="CJ119" s="311">
        <f t="shared" si="26"/>
        <v>5.0000000000000001E-3</v>
      </c>
      <c r="CK119" s="311">
        <f t="shared" si="26"/>
        <v>0.98250000000000004</v>
      </c>
      <c r="CL119" s="313">
        <f t="shared" si="27"/>
        <v>0</v>
      </c>
      <c r="CM119" s="313">
        <v>0</v>
      </c>
      <c r="CN119" s="313">
        <v>0</v>
      </c>
      <c r="CO119" s="318">
        <f t="shared" si="28"/>
        <v>2.4000000000000001E-4</v>
      </c>
    </row>
    <row r="120" spans="1:93" x14ac:dyDescent="0.25">
      <c r="A120" s="15">
        <v>2072</v>
      </c>
      <c r="B120" s="55">
        <f t="shared" ref="B120:B148" si="63">B119</f>
        <v>1.7500000000000002E-2</v>
      </c>
      <c r="C120" s="61">
        <f t="shared" si="59"/>
        <v>2.3809986322704275</v>
      </c>
      <c r="D120" s="21">
        <f t="shared" ref="D120:D148" si="64">D119*(1+E120)</f>
        <v>175486.12406900444</v>
      </c>
      <c r="E120" s="57">
        <f t="shared" ref="E120:E148" si="65">E119</f>
        <v>3.0727500000000019E-2</v>
      </c>
      <c r="F120" s="21">
        <f t="shared" ref="F120:F148" si="66">F119*D120/D119</f>
        <v>78015.025936679842</v>
      </c>
      <c r="G120" s="153">
        <f t="shared" si="29"/>
        <v>4.7778570683365453</v>
      </c>
      <c r="H120" s="357">
        <f t="shared" si="23"/>
        <v>3.0727500000000019E-2</v>
      </c>
      <c r="I120" s="15">
        <v>2072</v>
      </c>
      <c r="J120" s="13">
        <f t="shared" si="60"/>
        <v>89143.821990538199</v>
      </c>
      <c r="K120" s="65">
        <f t="shared" si="44"/>
        <v>0.17749999999999999</v>
      </c>
      <c r="L120" s="65">
        <f t="shared" si="36"/>
        <v>0.10450000000000001</v>
      </c>
      <c r="M120" s="65">
        <f t="shared" si="37"/>
        <v>7.2999999999999982E-2</v>
      </c>
      <c r="N120" s="65">
        <f t="shared" si="16"/>
        <v>2.3000000000000003E-2</v>
      </c>
      <c r="O120" s="65">
        <f>IF(Simulation!$D$43="Oui",$Q120,0)</f>
        <v>1.9000000000000003E-2</v>
      </c>
      <c r="P120" s="65">
        <f>IF(Simulation!$D$43="Oui",$R120,0)</f>
        <v>4.0000000000000001E-3</v>
      </c>
      <c r="Q120" s="678">
        <f t="shared" si="38"/>
        <v>1.9000000000000003E-2</v>
      </c>
      <c r="R120" s="678">
        <f t="shared" si="38"/>
        <v>4.0000000000000001E-3</v>
      </c>
      <c r="S120" s="21">
        <f t="shared" ref="S120:S148" si="67">S119*(1+E120)</f>
        <v>6429.5817856660615</v>
      </c>
      <c r="T120" s="74">
        <f t="shared" ref="T120:U148" si="68">T119</f>
        <v>1.7500000000000002E-2</v>
      </c>
      <c r="U120" s="74">
        <f t="shared" si="68"/>
        <v>1.7500000000000002E-2</v>
      </c>
      <c r="V120" s="75">
        <f t="shared" si="61"/>
        <v>186604.04144128479</v>
      </c>
      <c r="W120" s="78">
        <f t="shared" ref="W120:W148" si="69">W119*S120/S119</f>
        <v>85900.226186632266</v>
      </c>
      <c r="X120" s="78">
        <f>IF(Simulation!$D$32="SMPT",(1+$E120)*X119,X119*(1+$U120))</f>
        <v>18435.268534808911</v>
      </c>
      <c r="Y120" s="78">
        <f>IF(Simulation!$D$32="SMPT",(1+$E120)*Y119,Y119*(1+$U120))</f>
        <v>20144.703312644735</v>
      </c>
      <c r="Z120" s="78">
        <f t="shared" si="45"/>
        <v>34367.764240319011</v>
      </c>
      <c r="AA120" s="58"/>
      <c r="AB120" s="15">
        <v>2072</v>
      </c>
      <c r="AC120" s="64">
        <f t="shared" si="46"/>
        <v>6.2E-2</v>
      </c>
      <c r="AD120" s="65">
        <f t="shared" si="39"/>
        <v>3.7200000000000004E-2</v>
      </c>
      <c r="AE120" s="65">
        <f t="shared" si="47"/>
        <v>2.4799999999999996E-2</v>
      </c>
      <c r="AF120" s="65">
        <f t="shared" si="48"/>
        <v>0.17</v>
      </c>
      <c r="AG120" s="65">
        <f t="shared" si="40"/>
        <v>0.10200000000000001</v>
      </c>
      <c r="AH120" s="65">
        <f t="shared" si="49"/>
        <v>6.8000000000000005E-2</v>
      </c>
      <c r="AI120" s="66">
        <f t="shared" si="50"/>
        <v>1.27</v>
      </c>
      <c r="AJ120" s="66"/>
      <c r="AK120" s="66"/>
      <c r="AL120" s="65">
        <f t="shared" si="20"/>
        <v>3.4999999999999996E-3</v>
      </c>
      <c r="AM120" s="65">
        <f>IF(Simulation!$D$42="Oui",Barèmes!$AO120,0)</f>
        <v>2.0999999999999999E-3</v>
      </c>
      <c r="AN120" s="65">
        <f>IF(Simulation!$D$42="Oui",Barèmes!$AP120,0)</f>
        <v>1.3999999999999998E-3</v>
      </c>
      <c r="AO120" s="678">
        <f t="shared" si="51"/>
        <v>2.0999999999999999E-3</v>
      </c>
      <c r="AP120" s="678">
        <f t="shared" si="52"/>
        <v>1.3999999999999998E-3</v>
      </c>
      <c r="AQ120" s="65">
        <f t="shared" si="15"/>
        <v>2.1499999999999998E-2</v>
      </c>
      <c r="AR120" s="65">
        <f>IF(Simulation!$D$42="Oui",Barèmes!$AT120,0)</f>
        <v>1.29E-2</v>
      </c>
      <c r="AS120" s="65">
        <f>IF(Simulation!$D$42="Oui",Barèmes!$AU120,0)</f>
        <v>8.6E-3</v>
      </c>
      <c r="AT120" s="678">
        <f t="shared" si="53"/>
        <v>1.29E-2</v>
      </c>
      <c r="AU120" s="678">
        <f t="shared" si="54"/>
        <v>8.6E-3</v>
      </c>
      <c r="AV120" s="65">
        <f t="shared" si="21"/>
        <v>2.7000000000000003E-2</v>
      </c>
      <c r="AW120" s="65">
        <f>IF(Simulation!$D$42="Oui",Barèmes!$AY120,0)</f>
        <v>1.6200000000000003E-2</v>
      </c>
      <c r="AX120" s="65">
        <f>IF(Simulation!$D$42="Oui",Barèmes!$AZ120,0)</f>
        <v>1.0800000000000001E-2</v>
      </c>
      <c r="AY120" s="678">
        <f t="shared" si="55"/>
        <v>1.6200000000000003E-2</v>
      </c>
      <c r="AZ120" s="678">
        <f t="shared" si="56"/>
        <v>1.0800000000000001E-2</v>
      </c>
      <c r="BA120" s="70">
        <f t="shared" ref="BA120:BD148" si="70">BA119*(1+$E120-0.0116)</f>
        <v>50.749611833133507</v>
      </c>
      <c r="BB120" s="70"/>
      <c r="BC120" s="70"/>
      <c r="BD120" s="70">
        <f t="shared" si="70"/>
        <v>3.3006332349862366</v>
      </c>
      <c r="BE120" s="70"/>
      <c r="BF120" s="70"/>
      <c r="BG120" s="71">
        <f t="shared" si="30"/>
        <v>3.2490099410393727</v>
      </c>
      <c r="BH120" s="71"/>
      <c r="BI120" s="71"/>
      <c r="BJ120" s="18">
        <f t="shared" si="62"/>
        <v>5436.1538414827592</v>
      </c>
      <c r="BL120" s="15">
        <v>2072</v>
      </c>
      <c r="BM120" s="22">
        <f>BM119*IF(Simulation!$D$35="SMPT",1+$E120,IF(Simulation!$D$35="PRIX",1+$B120))</f>
        <v>27461.219153307389</v>
      </c>
      <c r="BN120" s="23">
        <f>BN119*IF(Simulation!$D$35="SMPT",1+$E120,IF(Simulation!$D$35="PRIX",1+$B120))</f>
        <v>35900.825951299645</v>
      </c>
      <c r="BO120" s="23">
        <f>BO119*IF(Simulation!$D$35="SMPT",1+$E120,IF(Simulation!$D$35="PRIX",1+$B120))</f>
        <v>55716.810880299119</v>
      </c>
      <c r="BP120" s="5"/>
      <c r="BQ120" s="146">
        <v>0</v>
      </c>
      <c r="BR120" s="146">
        <v>4.2999999999999997E-2</v>
      </c>
      <c r="BS120" s="146">
        <v>7.3999999999999996E-2</v>
      </c>
      <c r="BT120" s="146">
        <v>9.0999999999999998E-2</v>
      </c>
      <c r="BV120" s="15">
        <v>2072</v>
      </c>
      <c r="BW120" s="22">
        <f>BW119*IF(Simulation!$D$35="SMPT",1+$E120,IF(Simulation!$D$35="PRIX",1+$B120))</f>
        <v>42125.818301444539</v>
      </c>
      <c r="BX120" s="23">
        <f>BX119*IF(Simulation!$D$35="SMPT",1+$E120,IF(Simulation!$D$35="PRIX",1+$B120))</f>
        <v>55071.684062882727</v>
      </c>
      <c r="BY120" s="23">
        <f>BY119*IF(Simulation!$D$35="SMPT",1+$E120,IF(Simulation!$D$35="PRIX",1+$B120))</f>
        <v>85464.860169970707</v>
      </c>
      <c r="BZ120" s="5"/>
      <c r="CA120" s="146">
        <v>0</v>
      </c>
      <c r="CB120" s="146">
        <f t="shared" si="41"/>
        <v>4.2999999999999997E-2</v>
      </c>
      <c r="CC120" s="146">
        <f t="shared" si="42"/>
        <v>7.3999999999999996E-2</v>
      </c>
      <c r="CD120" s="146">
        <f t="shared" si="43"/>
        <v>9.0999999999999998E-2</v>
      </c>
      <c r="CE120" s="146">
        <f t="shared" si="43"/>
        <v>3.2000000000000001E-2</v>
      </c>
      <c r="CG120" s="15">
        <v>2072</v>
      </c>
      <c r="CH120" s="317">
        <f t="shared" si="57"/>
        <v>9.1999999999999998E-2</v>
      </c>
      <c r="CI120" s="311">
        <f t="shared" si="25"/>
        <v>6.8000000000000005E-2</v>
      </c>
      <c r="CJ120" s="311">
        <f t="shared" si="26"/>
        <v>5.0000000000000001E-3</v>
      </c>
      <c r="CK120" s="311">
        <f t="shared" si="26"/>
        <v>0.98250000000000004</v>
      </c>
      <c r="CL120" s="313">
        <f t="shared" si="27"/>
        <v>0</v>
      </c>
      <c r="CM120" s="313">
        <v>0</v>
      </c>
      <c r="CN120" s="313">
        <v>0</v>
      </c>
      <c r="CO120" s="318">
        <f t="shared" si="28"/>
        <v>2.4000000000000001E-4</v>
      </c>
    </row>
    <row r="121" spans="1:93" x14ac:dyDescent="0.25">
      <c r="A121" s="15">
        <v>2073</v>
      </c>
      <c r="B121" s="55">
        <f t="shared" si="63"/>
        <v>1.7500000000000002E-2</v>
      </c>
      <c r="C121" s="61">
        <f t="shared" si="59"/>
        <v>2.4226661083351604</v>
      </c>
      <c r="D121" s="21">
        <f t="shared" si="64"/>
        <v>180878.37394633476</v>
      </c>
      <c r="E121" s="57">
        <f t="shared" si="65"/>
        <v>3.0727500000000019E-2</v>
      </c>
      <c r="F121" s="21">
        <f t="shared" si="66"/>
        <v>80412.232646149161</v>
      </c>
      <c r="G121" s="153">
        <f t="shared" si="29"/>
        <v>4.9246686714038557</v>
      </c>
      <c r="H121" s="357">
        <f t="shared" si="23"/>
        <v>3.0727500000000019E-2</v>
      </c>
      <c r="I121" s="15">
        <v>2073</v>
      </c>
      <c r="J121" s="13">
        <f t="shared" si="60"/>
        <v>91882.98878075245</v>
      </c>
      <c r="K121" s="65">
        <f t="shared" si="44"/>
        <v>0.17749999999999999</v>
      </c>
      <c r="L121" s="65">
        <f t="shared" si="36"/>
        <v>0.10450000000000001</v>
      </c>
      <c r="M121" s="65">
        <f t="shared" si="37"/>
        <v>7.2999999999999982E-2</v>
      </c>
      <c r="N121" s="65">
        <f t="shared" si="16"/>
        <v>2.3000000000000003E-2</v>
      </c>
      <c r="O121" s="65">
        <f>IF(Simulation!$D$43="Oui",$Q121,0)</f>
        <v>1.9000000000000003E-2</v>
      </c>
      <c r="P121" s="65">
        <f>IF(Simulation!$D$43="Oui",$R121,0)</f>
        <v>4.0000000000000001E-3</v>
      </c>
      <c r="Q121" s="678">
        <f t="shared" si="38"/>
        <v>1.9000000000000003E-2</v>
      </c>
      <c r="R121" s="678">
        <f t="shared" si="38"/>
        <v>4.0000000000000001E-3</v>
      </c>
      <c r="S121" s="21">
        <f t="shared" si="67"/>
        <v>6627.1467599851158</v>
      </c>
      <c r="T121" s="74">
        <f t="shared" si="68"/>
        <v>1.7500000000000002E-2</v>
      </c>
      <c r="U121" s="74">
        <f t="shared" si="68"/>
        <v>1.7500000000000002E-2</v>
      </c>
      <c r="V121" s="75">
        <f t="shared" si="61"/>
        <v>192337.91712467186</v>
      </c>
      <c r="W121" s="78">
        <f t="shared" si="69"/>
        <v>88539.725386782025</v>
      </c>
      <c r="X121" s="78">
        <f>IF(Simulation!$D$32="SMPT",(1+$E121)*X120,X120*(1+$U121))</f>
        <v>18757.885734168067</v>
      </c>
      <c r="Y121" s="78">
        <f>IF(Simulation!$D$32="SMPT",(1+$E121)*Y120,Y120*(1+$U121))</f>
        <v>20497.235620616018</v>
      </c>
      <c r="Z121" s="78">
        <f t="shared" si="45"/>
        <v>34969.200114524596</v>
      </c>
      <c r="AA121" s="58"/>
      <c r="AB121" s="15">
        <v>2073</v>
      </c>
      <c r="AC121" s="64">
        <f t="shared" si="46"/>
        <v>6.2E-2</v>
      </c>
      <c r="AD121" s="65">
        <f t="shared" si="39"/>
        <v>3.7200000000000004E-2</v>
      </c>
      <c r="AE121" s="65">
        <f t="shared" si="47"/>
        <v>2.4799999999999996E-2</v>
      </c>
      <c r="AF121" s="65">
        <f t="shared" si="48"/>
        <v>0.17</v>
      </c>
      <c r="AG121" s="65">
        <f t="shared" si="40"/>
        <v>0.10200000000000001</v>
      </c>
      <c r="AH121" s="65">
        <f t="shared" si="49"/>
        <v>6.8000000000000005E-2</v>
      </c>
      <c r="AI121" s="66">
        <f t="shared" si="50"/>
        <v>1.27</v>
      </c>
      <c r="AJ121" s="66"/>
      <c r="AK121" s="66"/>
      <c r="AL121" s="65">
        <f t="shared" si="20"/>
        <v>3.4999999999999996E-3</v>
      </c>
      <c r="AM121" s="65">
        <f>IF(Simulation!$D$42="Oui",Barèmes!$AO121,0)</f>
        <v>2.0999999999999999E-3</v>
      </c>
      <c r="AN121" s="65">
        <f>IF(Simulation!$D$42="Oui",Barèmes!$AP121,0)</f>
        <v>1.3999999999999998E-3</v>
      </c>
      <c r="AO121" s="678">
        <f t="shared" si="51"/>
        <v>2.0999999999999999E-3</v>
      </c>
      <c r="AP121" s="678">
        <f t="shared" si="52"/>
        <v>1.3999999999999998E-3</v>
      </c>
      <c r="AQ121" s="65">
        <f t="shared" si="15"/>
        <v>2.1499999999999998E-2</v>
      </c>
      <c r="AR121" s="65">
        <f>IF(Simulation!$D$42="Oui",Barèmes!$AT121,0)</f>
        <v>1.29E-2</v>
      </c>
      <c r="AS121" s="65">
        <f>IF(Simulation!$D$42="Oui",Barèmes!$AU121,0)</f>
        <v>8.6E-3</v>
      </c>
      <c r="AT121" s="678">
        <f t="shared" si="53"/>
        <v>1.29E-2</v>
      </c>
      <c r="AU121" s="678">
        <f t="shared" si="54"/>
        <v>8.6E-3</v>
      </c>
      <c r="AV121" s="65">
        <f t="shared" si="21"/>
        <v>2.7000000000000003E-2</v>
      </c>
      <c r="AW121" s="65">
        <f>IF(Simulation!$D$42="Oui",Barèmes!$AY121,0)</f>
        <v>1.6200000000000003E-2</v>
      </c>
      <c r="AX121" s="65">
        <f>IF(Simulation!$D$42="Oui",Barèmes!$AZ121,0)</f>
        <v>1.0800000000000001E-2</v>
      </c>
      <c r="AY121" s="678">
        <f t="shared" si="55"/>
        <v>1.6200000000000003E-2</v>
      </c>
      <c r="AZ121" s="678">
        <f t="shared" si="56"/>
        <v>1.0800000000000001E-2</v>
      </c>
      <c r="BA121" s="70">
        <f t="shared" si="70"/>
        <v>51.720325033471767</v>
      </c>
      <c r="BB121" s="70"/>
      <c r="BC121" s="70"/>
      <c r="BD121" s="70">
        <f t="shared" si="70"/>
        <v>3.3637660971884356</v>
      </c>
      <c r="BE121" s="70"/>
      <c r="BF121" s="70"/>
      <c r="BG121" s="71">
        <f t="shared" si="30"/>
        <v>3.3111553786866033</v>
      </c>
      <c r="BH121" s="71"/>
      <c r="BI121" s="71"/>
      <c r="BJ121" s="18">
        <f t="shared" si="62"/>
        <v>5540.13387408572</v>
      </c>
      <c r="BL121" s="15">
        <v>2073</v>
      </c>
      <c r="BM121" s="22">
        <f>BM120*IF(Simulation!$D$35="SMPT",1+$E121,IF(Simulation!$D$35="PRIX",1+$B121))</f>
        <v>27941.790488490271</v>
      </c>
      <c r="BN121" s="23">
        <f>BN120*IF(Simulation!$D$35="SMPT",1+$E121,IF(Simulation!$D$35="PRIX",1+$B121))</f>
        <v>36529.090405447394</v>
      </c>
      <c r="BO121" s="23">
        <f>BO120*IF(Simulation!$D$35="SMPT",1+$E121,IF(Simulation!$D$35="PRIX",1+$B121))</f>
        <v>56691.855070704354</v>
      </c>
      <c r="BP121" s="5"/>
      <c r="BQ121" s="146">
        <v>0</v>
      </c>
      <c r="BR121" s="146">
        <v>4.2999999999999997E-2</v>
      </c>
      <c r="BS121" s="146">
        <v>7.3999999999999996E-2</v>
      </c>
      <c r="BT121" s="146">
        <v>9.0999999999999998E-2</v>
      </c>
      <c r="BV121" s="15">
        <v>2073</v>
      </c>
      <c r="BW121" s="22">
        <f>BW120*IF(Simulation!$D$35="SMPT",1+$E121,IF(Simulation!$D$35="PRIX",1+$B121))</f>
        <v>42863.020121719819</v>
      </c>
      <c r="BX121" s="23">
        <f>BX120*IF(Simulation!$D$35="SMPT",1+$E121,IF(Simulation!$D$35="PRIX",1+$B121))</f>
        <v>56035.438533983179</v>
      </c>
      <c r="BY121" s="23">
        <f>BY120*IF(Simulation!$D$35="SMPT",1+$E121,IF(Simulation!$D$35="PRIX",1+$B121))</f>
        <v>86960.495222945203</v>
      </c>
      <c r="BZ121" s="5"/>
      <c r="CA121" s="146">
        <v>0</v>
      </c>
      <c r="CB121" s="146">
        <f t="shared" si="41"/>
        <v>4.2999999999999997E-2</v>
      </c>
      <c r="CC121" s="146">
        <f t="shared" si="42"/>
        <v>7.3999999999999996E-2</v>
      </c>
      <c r="CD121" s="146">
        <f t="shared" si="43"/>
        <v>9.0999999999999998E-2</v>
      </c>
      <c r="CE121" s="146">
        <f t="shared" si="43"/>
        <v>3.2000000000000001E-2</v>
      </c>
      <c r="CG121" s="15">
        <v>2073</v>
      </c>
      <c r="CH121" s="317">
        <f t="shared" si="57"/>
        <v>9.1999999999999998E-2</v>
      </c>
      <c r="CI121" s="311">
        <f t="shared" si="25"/>
        <v>6.8000000000000005E-2</v>
      </c>
      <c r="CJ121" s="311">
        <f t="shared" si="26"/>
        <v>5.0000000000000001E-3</v>
      </c>
      <c r="CK121" s="311">
        <f t="shared" si="26"/>
        <v>0.98250000000000004</v>
      </c>
      <c r="CL121" s="313">
        <f t="shared" si="27"/>
        <v>0</v>
      </c>
      <c r="CM121" s="313">
        <v>0</v>
      </c>
      <c r="CN121" s="313">
        <v>0</v>
      </c>
      <c r="CO121" s="318">
        <f t="shared" si="28"/>
        <v>2.4000000000000001E-4</v>
      </c>
    </row>
    <row r="122" spans="1:93" x14ac:dyDescent="0.25">
      <c r="A122" s="15">
        <v>2074</v>
      </c>
      <c r="B122" s="55">
        <f t="shared" si="63"/>
        <v>1.7500000000000002E-2</v>
      </c>
      <c r="C122" s="61">
        <f t="shared" si="59"/>
        <v>2.4650627652310257</v>
      </c>
      <c r="D122" s="21">
        <f t="shared" si="64"/>
        <v>186436.31418177075</v>
      </c>
      <c r="E122" s="57">
        <f t="shared" si="65"/>
        <v>3.0727500000000019E-2</v>
      </c>
      <c r="F122" s="21">
        <f t="shared" si="66"/>
        <v>82883.099524783713</v>
      </c>
      <c r="G122" s="153">
        <f t="shared" si="29"/>
        <v>5.0759914280044178</v>
      </c>
      <c r="H122" s="357">
        <f t="shared" si="23"/>
        <v>3.0727500000000019E-2</v>
      </c>
      <c r="I122" s="15">
        <v>2074</v>
      </c>
      <c r="J122" s="13">
        <f t="shared" si="60"/>
        <v>94706.323318513023</v>
      </c>
      <c r="K122" s="65">
        <f t="shared" si="44"/>
        <v>0.17749999999999999</v>
      </c>
      <c r="L122" s="65">
        <f t="shared" si="36"/>
        <v>0.10450000000000001</v>
      </c>
      <c r="M122" s="65">
        <f t="shared" si="37"/>
        <v>7.2999999999999982E-2</v>
      </c>
      <c r="N122" s="65">
        <f t="shared" si="16"/>
        <v>2.3000000000000003E-2</v>
      </c>
      <c r="O122" s="65">
        <f>IF(Simulation!$D$43="Oui",$Q122,0)</f>
        <v>1.9000000000000003E-2</v>
      </c>
      <c r="P122" s="65">
        <f>IF(Simulation!$D$43="Oui",$R122,0)</f>
        <v>4.0000000000000001E-3</v>
      </c>
      <c r="Q122" s="678">
        <f t="shared" si="38"/>
        <v>1.9000000000000003E-2</v>
      </c>
      <c r="R122" s="678">
        <f t="shared" si="38"/>
        <v>4.0000000000000001E-3</v>
      </c>
      <c r="S122" s="21">
        <f t="shared" si="67"/>
        <v>6830.7824120525584</v>
      </c>
      <c r="T122" s="74">
        <f t="shared" si="68"/>
        <v>1.7500000000000002E-2</v>
      </c>
      <c r="U122" s="74">
        <f t="shared" si="68"/>
        <v>1.7500000000000002E-2</v>
      </c>
      <c r="V122" s="75">
        <f t="shared" si="61"/>
        <v>198247.98047312023</v>
      </c>
      <c r="W122" s="78">
        <f t="shared" si="69"/>
        <v>91260.329798604376</v>
      </c>
      <c r="X122" s="78">
        <f>IF(Simulation!$D$32="SMPT",(1+$E122)*X121,X121*(1+$U122))</f>
        <v>19086.148734516009</v>
      </c>
      <c r="Y122" s="78">
        <f>IF(Simulation!$D$32="SMPT",(1+$E122)*Y121,Y121*(1+$U122))</f>
        <v>20855.937243976801</v>
      </c>
      <c r="Z122" s="78">
        <f t="shared" si="45"/>
        <v>35581.161116528783</v>
      </c>
      <c r="AA122" s="58"/>
      <c r="AB122" s="15">
        <v>2074</v>
      </c>
      <c r="AC122" s="64">
        <f t="shared" si="46"/>
        <v>6.2E-2</v>
      </c>
      <c r="AD122" s="65">
        <f t="shared" si="39"/>
        <v>3.7200000000000004E-2</v>
      </c>
      <c r="AE122" s="65">
        <f t="shared" si="47"/>
        <v>2.4799999999999996E-2</v>
      </c>
      <c r="AF122" s="65">
        <f t="shared" si="48"/>
        <v>0.17</v>
      </c>
      <c r="AG122" s="65">
        <f t="shared" si="40"/>
        <v>0.10200000000000001</v>
      </c>
      <c r="AH122" s="65">
        <f t="shared" si="49"/>
        <v>6.8000000000000005E-2</v>
      </c>
      <c r="AI122" s="66">
        <f t="shared" si="50"/>
        <v>1.27</v>
      </c>
      <c r="AJ122" s="66"/>
      <c r="AK122" s="66"/>
      <c r="AL122" s="65">
        <f t="shared" si="20"/>
        <v>3.4999999999999996E-3</v>
      </c>
      <c r="AM122" s="65">
        <f>IF(Simulation!$D$42="Oui",Barèmes!$AO122,0)</f>
        <v>2.0999999999999999E-3</v>
      </c>
      <c r="AN122" s="65">
        <f>IF(Simulation!$D$42="Oui",Barèmes!$AP122,0)</f>
        <v>1.3999999999999998E-3</v>
      </c>
      <c r="AO122" s="678">
        <f t="shared" si="51"/>
        <v>2.0999999999999999E-3</v>
      </c>
      <c r="AP122" s="678">
        <f t="shared" si="52"/>
        <v>1.3999999999999998E-3</v>
      </c>
      <c r="AQ122" s="65">
        <f t="shared" si="15"/>
        <v>2.1499999999999998E-2</v>
      </c>
      <c r="AR122" s="65">
        <f>IF(Simulation!$D$42="Oui",Barèmes!$AT122,0)</f>
        <v>1.29E-2</v>
      </c>
      <c r="AS122" s="65">
        <f>IF(Simulation!$D$42="Oui",Barèmes!$AU122,0)</f>
        <v>8.6E-3</v>
      </c>
      <c r="AT122" s="678">
        <f t="shared" si="53"/>
        <v>1.29E-2</v>
      </c>
      <c r="AU122" s="678">
        <f t="shared" si="54"/>
        <v>8.6E-3</v>
      </c>
      <c r="AV122" s="65">
        <f t="shared" si="21"/>
        <v>2.7000000000000003E-2</v>
      </c>
      <c r="AW122" s="65">
        <f>IF(Simulation!$D$42="Oui",Barèmes!$AY122,0)</f>
        <v>1.6200000000000003E-2</v>
      </c>
      <c r="AX122" s="65">
        <f>IF(Simulation!$D$42="Oui",Barèmes!$AZ122,0)</f>
        <v>1.0800000000000001E-2</v>
      </c>
      <c r="AY122" s="678">
        <f t="shared" si="55"/>
        <v>1.6200000000000003E-2</v>
      </c>
      <c r="AZ122" s="678">
        <f t="shared" si="56"/>
        <v>1.0800000000000001E-2</v>
      </c>
      <c r="BA122" s="70">
        <f t="shared" si="70"/>
        <v>52.709605550549497</v>
      </c>
      <c r="BB122" s="70"/>
      <c r="BC122" s="70"/>
      <c r="BD122" s="70">
        <f t="shared" si="70"/>
        <v>3.4281065332124072</v>
      </c>
      <c r="BE122" s="70"/>
      <c r="BF122" s="70"/>
      <c r="BG122" s="71">
        <f t="shared" si="30"/>
        <v>3.3744895031924309</v>
      </c>
      <c r="BH122" s="71"/>
      <c r="BI122" s="71"/>
      <c r="BJ122" s="18">
        <f t="shared" si="62"/>
        <v>5646.1027847622945</v>
      </c>
      <c r="BL122" s="15">
        <v>2074</v>
      </c>
      <c r="BM122" s="22">
        <f>BM121*IF(Simulation!$D$35="SMPT",1+$E122,IF(Simulation!$D$35="PRIX",1+$B122))</f>
        <v>28430.771822038852</v>
      </c>
      <c r="BN122" s="23">
        <f>BN121*IF(Simulation!$D$35="SMPT",1+$E122,IF(Simulation!$D$35="PRIX",1+$B122))</f>
        <v>37168.349487542728</v>
      </c>
      <c r="BO122" s="23">
        <f>BO121*IF(Simulation!$D$35="SMPT",1+$E122,IF(Simulation!$D$35="PRIX",1+$B122))</f>
        <v>57683.962534441685</v>
      </c>
      <c r="BP122" s="5"/>
      <c r="BQ122" s="146">
        <v>0</v>
      </c>
      <c r="BR122" s="146">
        <v>4.2999999999999997E-2</v>
      </c>
      <c r="BS122" s="146">
        <v>7.3999999999999996E-2</v>
      </c>
      <c r="BT122" s="146">
        <v>9.0999999999999998E-2</v>
      </c>
      <c r="BV122" s="15">
        <v>2074</v>
      </c>
      <c r="BW122" s="22">
        <f>BW121*IF(Simulation!$D$35="SMPT",1+$E122,IF(Simulation!$D$35="PRIX",1+$B122))</f>
        <v>43613.122973849917</v>
      </c>
      <c r="BX122" s="23">
        <f>BX121*IF(Simulation!$D$35="SMPT",1+$E122,IF(Simulation!$D$35="PRIX",1+$B122))</f>
        <v>57016.058708327888</v>
      </c>
      <c r="BY122" s="23">
        <f>BY121*IF(Simulation!$D$35="SMPT",1+$E122,IF(Simulation!$D$35="PRIX",1+$B122))</f>
        <v>88482.303889346746</v>
      </c>
      <c r="BZ122" s="5"/>
      <c r="CA122" s="146">
        <v>0</v>
      </c>
      <c r="CB122" s="146">
        <f t="shared" si="41"/>
        <v>4.2999999999999997E-2</v>
      </c>
      <c r="CC122" s="146">
        <f t="shared" si="42"/>
        <v>7.3999999999999996E-2</v>
      </c>
      <c r="CD122" s="146">
        <f t="shared" si="43"/>
        <v>9.0999999999999998E-2</v>
      </c>
      <c r="CE122" s="146">
        <f t="shared" si="43"/>
        <v>3.2000000000000001E-2</v>
      </c>
      <c r="CG122" s="15">
        <v>2074</v>
      </c>
      <c r="CH122" s="317">
        <f t="shared" si="57"/>
        <v>9.1999999999999998E-2</v>
      </c>
      <c r="CI122" s="311">
        <f t="shared" si="25"/>
        <v>6.8000000000000005E-2</v>
      </c>
      <c r="CJ122" s="311">
        <f t="shared" si="26"/>
        <v>5.0000000000000001E-3</v>
      </c>
      <c r="CK122" s="311">
        <f t="shared" si="26"/>
        <v>0.98250000000000004</v>
      </c>
      <c r="CL122" s="313">
        <f t="shared" si="27"/>
        <v>0</v>
      </c>
      <c r="CM122" s="313">
        <v>0</v>
      </c>
      <c r="CN122" s="313">
        <v>0</v>
      </c>
      <c r="CO122" s="318">
        <f t="shared" si="28"/>
        <v>2.4000000000000001E-4</v>
      </c>
    </row>
    <row r="123" spans="1:93" x14ac:dyDescent="0.25">
      <c r="A123" s="15">
        <v>2075</v>
      </c>
      <c r="B123" s="55">
        <f t="shared" si="63"/>
        <v>1.7500000000000002E-2</v>
      </c>
      <c r="C123" s="61">
        <f t="shared" si="59"/>
        <v>2.5082013636225691</v>
      </c>
      <c r="D123" s="21">
        <f t="shared" si="64"/>
        <v>192165.03602579111</v>
      </c>
      <c r="E123" s="57">
        <f t="shared" si="65"/>
        <v>3.0727500000000019E-2</v>
      </c>
      <c r="F123" s="21">
        <f t="shared" si="66"/>
        <v>85429.889965431503</v>
      </c>
      <c r="G123" s="153">
        <f t="shared" si="29"/>
        <v>5.2319639546084229</v>
      </c>
      <c r="H123" s="357">
        <f t="shared" si="23"/>
        <v>3.0727499999999797E-2</v>
      </c>
      <c r="I123" s="15">
        <v>2075</v>
      </c>
      <c r="J123" s="13">
        <f t="shared" si="60"/>
        <v>97616.411868282637</v>
      </c>
      <c r="K123" s="65">
        <f t="shared" si="44"/>
        <v>0.17749999999999999</v>
      </c>
      <c r="L123" s="65">
        <f t="shared" si="36"/>
        <v>0.10450000000000001</v>
      </c>
      <c r="M123" s="65">
        <f t="shared" si="37"/>
        <v>7.2999999999999982E-2</v>
      </c>
      <c r="N123" s="65">
        <f t="shared" si="16"/>
        <v>2.3000000000000003E-2</v>
      </c>
      <c r="O123" s="65">
        <f>IF(Simulation!$D$43="Oui",$Q123,0)</f>
        <v>1.9000000000000003E-2</v>
      </c>
      <c r="P123" s="65">
        <f>IF(Simulation!$D$43="Oui",$R123,0)</f>
        <v>4.0000000000000001E-3</v>
      </c>
      <c r="Q123" s="678">
        <f t="shared" si="38"/>
        <v>1.9000000000000003E-2</v>
      </c>
      <c r="R123" s="678">
        <f t="shared" si="38"/>
        <v>4.0000000000000001E-3</v>
      </c>
      <c r="S123" s="21">
        <f t="shared" si="67"/>
        <v>7040.6752786189036</v>
      </c>
      <c r="T123" s="74">
        <f t="shared" si="68"/>
        <v>1.7500000000000002E-2</v>
      </c>
      <c r="U123" s="74">
        <f t="shared" si="68"/>
        <v>1.7500000000000002E-2</v>
      </c>
      <c r="V123" s="75">
        <f t="shared" si="61"/>
        <v>204339.64529310801</v>
      </c>
      <c r="W123" s="78">
        <f t="shared" si="69"/>
        <v>94064.531582491007</v>
      </c>
      <c r="X123" s="78">
        <f>IF(Simulation!$D$32="SMPT",(1+$E123)*X122,X122*(1+$U123))</f>
        <v>19420.156337370041</v>
      </c>
      <c r="Y123" s="78">
        <f>IF(Simulation!$D$32="SMPT",(1+$E123)*Y122,Y122*(1+$U123))</f>
        <v>21220.916145746396</v>
      </c>
      <c r="Z123" s="78">
        <f t="shared" si="45"/>
        <v>36203.831436068038</v>
      </c>
      <c r="AA123" s="58"/>
      <c r="AB123" s="15">
        <v>2075</v>
      </c>
      <c r="AC123" s="64">
        <f t="shared" si="46"/>
        <v>6.2E-2</v>
      </c>
      <c r="AD123" s="65">
        <f t="shared" si="39"/>
        <v>3.7200000000000004E-2</v>
      </c>
      <c r="AE123" s="65">
        <f t="shared" si="47"/>
        <v>2.4799999999999996E-2</v>
      </c>
      <c r="AF123" s="65">
        <f t="shared" si="48"/>
        <v>0.17</v>
      </c>
      <c r="AG123" s="65">
        <f t="shared" si="40"/>
        <v>0.10200000000000001</v>
      </c>
      <c r="AH123" s="65">
        <f t="shared" si="49"/>
        <v>6.8000000000000005E-2</v>
      </c>
      <c r="AI123" s="66">
        <f t="shared" si="50"/>
        <v>1.27</v>
      </c>
      <c r="AJ123" s="66"/>
      <c r="AK123" s="66"/>
      <c r="AL123" s="65">
        <f t="shared" si="20"/>
        <v>3.4999999999999996E-3</v>
      </c>
      <c r="AM123" s="65">
        <f>IF(Simulation!$D$42="Oui",Barèmes!$AO123,0)</f>
        <v>2.0999999999999999E-3</v>
      </c>
      <c r="AN123" s="65">
        <f>IF(Simulation!$D$42="Oui",Barèmes!$AP123,0)</f>
        <v>1.3999999999999998E-3</v>
      </c>
      <c r="AO123" s="678">
        <f t="shared" si="51"/>
        <v>2.0999999999999999E-3</v>
      </c>
      <c r="AP123" s="678">
        <f t="shared" si="52"/>
        <v>1.3999999999999998E-3</v>
      </c>
      <c r="AQ123" s="65">
        <f t="shared" si="15"/>
        <v>2.1499999999999998E-2</v>
      </c>
      <c r="AR123" s="65">
        <f>IF(Simulation!$D$42="Oui",Barèmes!$AT123,0)</f>
        <v>1.29E-2</v>
      </c>
      <c r="AS123" s="65">
        <f>IF(Simulation!$D$42="Oui",Barèmes!$AU123,0)</f>
        <v>8.6E-3</v>
      </c>
      <c r="AT123" s="678">
        <f t="shared" si="53"/>
        <v>1.29E-2</v>
      </c>
      <c r="AU123" s="678">
        <f t="shared" si="54"/>
        <v>8.6E-3</v>
      </c>
      <c r="AV123" s="65">
        <f t="shared" si="21"/>
        <v>2.7000000000000003E-2</v>
      </c>
      <c r="AW123" s="65">
        <f>IF(Simulation!$D$42="Oui",Barèmes!$AY123,0)</f>
        <v>1.6200000000000003E-2</v>
      </c>
      <c r="AX123" s="65">
        <f>IF(Simulation!$D$42="Oui",Barèmes!$AZ123,0)</f>
        <v>1.0800000000000001E-2</v>
      </c>
      <c r="AY123" s="678">
        <f t="shared" si="55"/>
        <v>1.6200000000000003E-2</v>
      </c>
      <c r="AZ123" s="678">
        <f t="shared" si="56"/>
        <v>1.0800000000000001E-2</v>
      </c>
      <c r="BA123" s="70">
        <f t="shared" si="70"/>
        <v>53.717808530717633</v>
      </c>
      <c r="BB123" s="70"/>
      <c r="BC123" s="70"/>
      <c r="BD123" s="70">
        <f t="shared" si="70"/>
        <v>3.4936776409264274</v>
      </c>
      <c r="BE123" s="70"/>
      <c r="BF123" s="70"/>
      <c r="BG123" s="71">
        <f t="shared" si="30"/>
        <v>3.4390350511647441</v>
      </c>
      <c r="BH123" s="71"/>
      <c r="BI123" s="71"/>
      <c r="BJ123" s="18">
        <f t="shared" si="62"/>
        <v>5754.0986157778352</v>
      </c>
      <c r="BL123" s="15">
        <v>2075</v>
      </c>
      <c r="BM123" s="22">
        <f>BM122*IF(Simulation!$D$35="SMPT",1+$E123,IF(Simulation!$D$35="PRIX",1+$B123))</f>
        <v>28928.310328924534</v>
      </c>
      <c r="BN123" s="23">
        <f>BN122*IF(Simulation!$D$35="SMPT",1+$E123,IF(Simulation!$D$35="PRIX",1+$B123))</f>
        <v>37818.795603574727</v>
      </c>
      <c r="BO123" s="23">
        <f>BO122*IF(Simulation!$D$35="SMPT",1+$E123,IF(Simulation!$D$35="PRIX",1+$B123))</f>
        <v>58693.431878794421</v>
      </c>
      <c r="BP123" s="5"/>
      <c r="BQ123" s="146">
        <v>0</v>
      </c>
      <c r="BR123" s="146">
        <v>4.2999999999999997E-2</v>
      </c>
      <c r="BS123" s="146">
        <v>7.3999999999999996E-2</v>
      </c>
      <c r="BT123" s="146">
        <v>9.0999999999999998E-2</v>
      </c>
      <c r="BV123" s="15">
        <v>2075</v>
      </c>
      <c r="BW123" s="22">
        <f>BW122*IF(Simulation!$D$35="SMPT",1+$E123,IF(Simulation!$D$35="PRIX",1+$B123))</f>
        <v>44376.352625892294</v>
      </c>
      <c r="BX123" s="23">
        <f>BX122*IF(Simulation!$D$35="SMPT",1+$E123,IF(Simulation!$D$35="PRIX",1+$B123))</f>
        <v>58013.839735723632</v>
      </c>
      <c r="BY123" s="23">
        <f>BY122*IF(Simulation!$D$35="SMPT",1+$E123,IF(Simulation!$D$35="PRIX",1+$B123))</f>
        <v>90030.744207410316</v>
      </c>
      <c r="BZ123" s="5"/>
      <c r="CA123" s="146">
        <v>0</v>
      </c>
      <c r="CB123" s="146">
        <f t="shared" si="41"/>
        <v>4.2999999999999997E-2</v>
      </c>
      <c r="CC123" s="146">
        <f t="shared" si="42"/>
        <v>7.3999999999999996E-2</v>
      </c>
      <c r="CD123" s="146">
        <f t="shared" si="43"/>
        <v>9.0999999999999998E-2</v>
      </c>
      <c r="CE123" s="146">
        <f t="shared" si="43"/>
        <v>3.2000000000000001E-2</v>
      </c>
      <c r="CG123" s="15">
        <v>2075</v>
      </c>
      <c r="CH123" s="317">
        <f t="shared" si="57"/>
        <v>9.1999999999999998E-2</v>
      </c>
      <c r="CI123" s="311">
        <f t="shared" si="25"/>
        <v>6.8000000000000005E-2</v>
      </c>
      <c r="CJ123" s="311">
        <f t="shared" si="26"/>
        <v>5.0000000000000001E-3</v>
      </c>
      <c r="CK123" s="311">
        <f t="shared" si="26"/>
        <v>0.98250000000000004</v>
      </c>
      <c r="CL123" s="313">
        <f t="shared" si="27"/>
        <v>0</v>
      </c>
      <c r="CM123" s="313">
        <v>0</v>
      </c>
      <c r="CN123" s="313">
        <v>0</v>
      </c>
      <c r="CO123" s="318">
        <f t="shared" si="28"/>
        <v>2.4000000000000001E-4</v>
      </c>
    </row>
    <row r="124" spans="1:93" x14ac:dyDescent="0.25">
      <c r="A124" s="15">
        <v>2076</v>
      </c>
      <c r="B124" s="55">
        <f t="shared" si="63"/>
        <v>1.7500000000000002E-2</v>
      </c>
      <c r="C124" s="61">
        <f t="shared" si="59"/>
        <v>2.5520948874859641</v>
      </c>
      <c r="D124" s="21">
        <f t="shared" si="64"/>
        <v>198069.7871702736</v>
      </c>
      <c r="E124" s="57">
        <f t="shared" si="65"/>
        <v>3.0727500000000019E-2</v>
      </c>
      <c r="F124" s="21">
        <f t="shared" si="66"/>
        <v>88054.936909344295</v>
      </c>
      <c r="G124" s="153">
        <f t="shared" si="29"/>
        <v>5.392729127023653</v>
      </c>
      <c r="H124" s="357">
        <f t="shared" si="23"/>
        <v>3.0727500000000019E-2</v>
      </c>
      <c r="I124" s="15">
        <v>2076</v>
      </c>
      <c r="J124" s="13">
        <f t="shared" si="60"/>
        <v>100615.92016396527</v>
      </c>
      <c r="K124" s="65">
        <f t="shared" si="44"/>
        <v>0.17749999999999999</v>
      </c>
      <c r="L124" s="65">
        <f t="shared" si="36"/>
        <v>0.10450000000000001</v>
      </c>
      <c r="M124" s="65">
        <f t="shared" si="37"/>
        <v>7.2999999999999982E-2</v>
      </c>
      <c r="N124" s="65">
        <f t="shared" si="16"/>
        <v>2.3000000000000003E-2</v>
      </c>
      <c r="O124" s="65">
        <f>IF(Simulation!$D$43="Oui",$Q124,0)</f>
        <v>1.9000000000000003E-2</v>
      </c>
      <c r="P124" s="65">
        <f>IF(Simulation!$D$43="Oui",$R124,0)</f>
        <v>4.0000000000000001E-3</v>
      </c>
      <c r="Q124" s="678">
        <f t="shared" si="38"/>
        <v>1.9000000000000003E-2</v>
      </c>
      <c r="R124" s="678">
        <f t="shared" si="38"/>
        <v>4.0000000000000001E-3</v>
      </c>
      <c r="S124" s="21">
        <f t="shared" si="67"/>
        <v>7257.0176282426664</v>
      </c>
      <c r="T124" s="74">
        <f t="shared" si="68"/>
        <v>1.7500000000000002E-2</v>
      </c>
      <c r="U124" s="74">
        <f t="shared" si="68"/>
        <v>1.7500000000000002E-2</v>
      </c>
      <c r="V124" s="75">
        <f t="shared" si="61"/>
        <v>210618.49174385201</v>
      </c>
      <c r="W124" s="78">
        <f t="shared" si="69"/>
        <v>96954.899476691993</v>
      </c>
      <c r="X124" s="78">
        <f>IF(Simulation!$D$32="SMPT",(1+$E124)*X123,X123*(1+$U124))</f>
        <v>19760.009073274017</v>
      </c>
      <c r="Y124" s="78">
        <f>IF(Simulation!$D$32="SMPT",(1+$E124)*Y123,Y123*(1+$U124))</f>
        <v>21592.282178296959</v>
      </c>
      <c r="Z124" s="78">
        <f t="shared" si="45"/>
        <v>36837.398486199229</v>
      </c>
      <c r="AA124" s="58"/>
      <c r="AB124" s="15">
        <v>2076</v>
      </c>
      <c r="AC124" s="64">
        <f t="shared" si="46"/>
        <v>6.2E-2</v>
      </c>
      <c r="AD124" s="65">
        <f t="shared" si="39"/>
        <v>3.7200000000000004E-2</v>
      </c>
      <c r="AE124" s="65">
        <f t="shared" si="47"/>
        <v>2.4799999999999996E-2</v>
      </c>
      <c r="AF124" s="65">
        <f t="shared" si="48"/>
        <v>0.17</v>
      </c>
      <c r="AG124" s="65">
        <f t="shared" si="40"/>
        <v>0.10200000000000001</v>
      </c>
      <c r="AH124" s="65">
        <f t="shared" si="49"/>
        <v>6.8000000000000005E-2</v>
      </c>
      <c r="AI124" s="66">
        <f t="shared" si="50"/>
        <v>1.27</v>
      </c>
      <c r="AJ124" s="66"/>
      <c r="AK124" s="66"/>
      <c r="AL124" s="65">
        <f t="shared" si="20"/>
        <v>3.4999999999999996E-3</v>
      </c>
      <c r="AM124" s="65">
        <f>IF(Simulation!$D$42="Oui",Barèmes!$AO124,0)</f>
        <v>2.0999999999999999E-3</v>
      </c>
      <c r="AN124" s="65">
        <f>IF(Simulation!$D$42="Oui",Barèmes!$AP124,0)</f>
        <v>1.3999999999999998E-3</v>
      </c>
      <c r="AO124" s="678">
        <f t="shared" si="51"/>
        <v>2.0999999999999999E-3</v>
      </c>
      <c r="AP124" s="678">
        <f t="shared" si="52"/>
        <v>1.3999999999999998E-3</v>
      </c>
      <c r="AQ124" s="65">
        <f t="shared" si="15"/>
        <v>2.1499999999999998E-2</v>
      </c>
      <c r="AR124" s="65">
        <f>IF(Simulation!$D$42="Oui",Barèmes!$AT124,0)</f>
        <v>1.29E-2</v>
      </c>
      <c r="AS124" s="65">
        <f>IF(Simulation!$D$42="Oui",Barèmes!$AU124,0)</f>
        <v>8.6E-3</v>
      </c>
      <c r="AT124" s="678">
        <f t="shared" si="53"/>
        <v>1.29E-2</v>
      </c>
      <c r="AU124" s="678">
        <f t="shared" si="54"/>
        <v>8.6E-3</v>
      </c>
      <c r="AV124" s="65">
        <f t="shared" si="21"/>
        <v>2.7000000000000003E-2</v>
      </c>
      <c r="AW124" s="65">
        <f>IF(Simulation!$D$42="Oui",Barèmes!$AY124,0)</f>
        <v>1.6200000000000003E-2</v>
      </c>
      <c r="AX124" s="65">
        <f>IF(Simulation!$D$42="Oui",Barèmes!$AZ124,0)</f>
        <v>1.0800000000000001E-2</v>
      </c>
      <c r="AY124" s="678">
        <f t="shared" si="55"/>
        <v>1.6200000000000003E-2</v>
      </c>
      <c r="AZ124" s="678">
        <f t="shared" si="56"/>
        <v>1.0800000000000001E-2</v>
      </c>
      <c r="BA124" s="70">
        <f t="shared" si="70"/>
        <v>54.745295913388929</v>
      </c>
      <c r="BB124" s="70"/>
      <c r="BC124" s="70"/>
      <c r="BD124" s="70">
        <f t="shared" si="70"/>
        <v>3.5605029600032476</v>
      </c>
      <c r="BE124" s="70"/>
      <c r="BF124" s="70"/>
      <c r="BG124" s="71">
        <f t="shared" si="30"/>
        <v>3.5048151941058978</v>
      </c>
      <c r="BH124" s="71"/>
      <c r="BI124" s="71"/>
      <c r="BJ124" s="18">
        <f t="shared" si="62"/>
        <v>5864.1601370511253</v>
      </c>
      <c r="BL124" s="15">
        <v>2076</v>
      </c>
      <c r="BM124" s="22">
        <f>BM123*IF(Simulation!$D$35="SMPT",1+$E124,IF(Simulation!$D$35="PRIX",1+$B124))</f>
        <v>29434.555759680716</v>
      </c>
      <c r="BN124" s="23">
        <f>BN123*IF(Simulation!$D$35="SMPT",1+$E124,IF(Simulation!$D$35="PRIX",1+$B124))</f>
        <v>38480.624526637286</v>
      </c>
      <c r="BO124" s="23">
        <f>BO123*IF(Simulation!$D$35="SMPT",1+$E124,IF(Simulation!$D$35="PRIX",1+$B124))</f>
        <v>59720.566936673327</v>
      </c>
      <c r="BP124" s="5"/>
      <c r="BQ124" s="146">
        <v>0</v>
      </c>
      <c r="BR124" s="146">
        <v>4.2999999999999997E-2</v>
      </c>
      <c r="BS124" s="146">
        <v>7.3999999999999996E-2</v>
      </c>
      <c r="BT124" s="146">
        <v>9.0999999999999998E-2</v>
      </c>
      <c r="BV124" s="15">
        <v>2076</v>
      </c>
      <c r="BW124" s="22">
        <f>BW123*IF(Simulation!$D$35="SMPT",1+$E124,IF(Simulation!$D$35="PRIX",1+$B124))</f>
        <v>45152.93879684541</v>
      </c>
      <c r="BX124" s="23">
        <f>BX123*IF(Simulation!$D$35="SMPT",1+$E124,IF(Simulation!$D$35="PRIX",1+$B124))</f>
        <v>59029.081931098801</v>
      </c>
      <c r="BY124" s="23">
        <f>BY123*IF(Simulation!$D$35="SMPT",1+$E124,IF(Simulation!$D$35="PRIX",1+$B124))</f>
        <v>91606.282231040008</v>
      </c>
      <c r="BZ124" s="5"/>
      <c r="CA124" s="146">
        <v>0</v>
      </c>
      <c r="CB124" s="146">
        <f t="shared" si="41"/>
        <v>4.2999999999999997E-2</v>
      </c>
      <c r="CC124" s="146">
        <f t="shared" si="42"/>
        <v>7.3999999999999996E-2</v>
      </c>
      <c r="CD124" s="146">
        <f t="shared" si="43"/>
        <v>9.0999999999999998E-2</v>
      </c>
      <c r="CE124" s="146">
        <f t="shared" si="43"/>
        <v>3.2000000000000001E-2</v>
      </c>
      <c r="CG124" s="15">
        <v>2076</v>
      </c>
      <c r="CH124" s="317">
        <f t="shared" si="57"/>
        <v>9.1999999999999998E-2</v>
      </c>
      <c r="CI124" s="311">
        <f t="shared" si="25"/>
        <v>6.8000000000000005E-2</v>
      </c>
      <c r="CJ124" s="311">
        <f t="shared" si="26"/>
        <v>5.0000000000000001E-3</v>
      </c>
      <c r="CK124" s="311">
        <f t="shared" si="26"/>
        <v>0.98250000000000004</v>
      </c>
      <c r="CL124" s="313">
        <f t="shared" si="27"/>
        <v>0</v>
      </c>
      <c r="CM124" s="313">
        <v>0</v>
      </c>
      <c r="CN124" s="313">
        <v>0</v>
      </c>
      <c r="CO124" s="318">
        <f t="shared" si="28"/>
        <v>2.4000000000000001E-4</v>
      </c>
    </row>
    <row r="125" spans="1:93" x14ac:dyDescent="0.25">
      <c r="A125" s="15">
        <v>2077</v>
      </c>
      <c r="B125" s="55">
        <f t="shared" si="63"/>
        <v>1.7500000000000002E-2</v>
      </c>
      <c r="C125" s="61">
        <f t="shared" si="59"/>
        <v>2.5967565480169688</v>
      </c>
      <c r="D125" s="21">
        <f t="shared" si="64"/>
        <v>204155.9765555482</v>
      </c>
      <c r="E125" s="57">
        <f t="shared" si="65"/>
        <v>3.0727500000000019E-2</v>
      </c>
      <c r="F125" s="21">
        <f t="shared" si="66"/>
        <v>90760.644983226186</v>
      </c>
      <c r="G125" s="153">
        <f t="shared" si="29"/>
        <v>5.5584342112742728</v>
      </c>
      <c r="H125" s="357">
        <f t="shared" si="23"/>
        <v>3.0727500000000019E-2</v>
      </c>
      <c r="I125" s="15">
        <v>2077</v>
      </c>
      <c r="J125" s="13">
        <f t="shared" si="60"/>
        <v>103707.59585080353</v>
      </c>
      <c r="K125" s="65">
        <f t="shared" si="44"/>
        <v>0.17749999999999999</v>
      </c>
      <c r="L125" s="65">
        <f t="shared" si="36"/>
        <v>0.10450000000000001</v>
      </c>
      <c r="M125" s="65">
        <f t="shared" si="37"/>
        <v>7.2999999999999982E-2</v>
      </c>
      <c r="N125" s="65">
        <f t="shared" si="16"/>
        <v>2.3000000000000003E-2</v>
      </c>
      <c r="O125" s="65">
        <f>IF(Simulation!$D$43="Oui",$Q125,0)</f>
        <v>1.9000000000000003E-2</v>
      </c>
      <c r="P125" s="65">
        <f>IF(Simulation!$D$43="Oui",$R125,0)</f>
        <v>4.0000000000000001E-3</v>
      </c>
      <c r="Q125" s="678">
        <f t="shared" si="38"/>
        <v>1.9000000000000003E-2</v>
      </c>
      <c r="R125" s="678">
        <f t="shared" si="38"/>
        <v>4.0000000000000001E-3</v>
      </c>
      <c r="S125" s="21">
        <f t="shared" si="67"/>
        <v>7480.0076374144928</v>
      </c>
      <c r="T125" s="74">
        <f t="shared" si="68"/>
        <v>1.7500000000000002E-2</v>
      </c>
      <c r="U125" s="74">
        <f t="shared" si="68"/>
        <v>1.7500000000000002E-2</v>
      </c>
      <c r="V125" s="75">
        <f t="shared" si="61"/>
        <v>217090.27144891123</v>
      </c>
      <c r="W125" s="78">
        <f t="shared" si="69"/>
        <v>99934.081150362035</v>
      </c>
      <c r="X125" s="78">
        <f>IF(Simulation!$D$32="SMPT",(1+$E125)*X124,X124*(1+$U125))</f>
        <v>20105.809232056316</v>
      </c>
      <c r="Y125" s="78">
        <f>IF(Simulation!$D$32="SMPT",(1+$E125)*Y124,Y124*(1+$U125))</f>
        <v>21970.147116417156</v>
      </c>
      <c r="Z125" s="78">
        <f t="shared" si="45"/>
        <v>37482.052959707718</v>
      </c>
      <c r="AA125" s="58"/>
      <c r="AB125" s="15">
        <v>2077</v>
      </c>
      <c r="AC125" s="64">
        <f t="shared" si="46"/>
        <v>6.2E-2</v>
      </c>
      <c r="AD125" s="65">
        <f t="shared" si="39"/>
        <v>3.7200000000000004E-2</v>
      </c>
      <c r="AE125" s="65">
        <f t="shared" si="47"/>
        <v>2.4799999999999996E-2</v>
      </c>
      <c r="AF125" s="65">
        <f t="shared" si="48"/>
        <v>0.17</v>
      </c>
      <c r="AG125" s="65">
        <f t="shared" si="40"/>
        <v>0.10200000000000001</v>
      </c>
      <c r="AH125" s="65">
        <f t="shared" si="49"/>
        <v>6.8000000000000005E-2</v>
      </c>
      <c r="AI125" s="66">
        <f t="shared" si="50"/>
        <v>1.27</v>
      </c>
      <c r="AJ125" s="66"/>
      <c r="AK125" s="66"/>
      <c r="AL125" s="65">
        <f t="shared" si="20"/>
        <v>3.4999999999999996E-3</v>
      </c>
      <c r="AM125" s="65">
        <f>IF(Simulation!$D$42="Oui",Barèmes!$AO125,0)</f>
        <v>2.0999999999999999E-3</v>
      </c>
      <c r="AN125" s="65">
        <f>IF(Simulation!$D$42="Oui",Barèmes!$AP125,0)</f>
        <v>1.3999999999999998E-3</v>
      </c>
      <c r="AO125" s="678">
        <f t="shared" si="51"/>
        <v>2.0999999999999999E-3</v>
      </c>
      <c r="AP125" s="678">
        <f t="shared" si="52"/>
        <v>1.3999999999999998E-3</v>
      </c>
      <c r="AQ125" s="65">
        <f t="shared" ref="AQ125:AQ148" si="71">AR125+AS125</f>
        <v>2.1499999999999998E-2</v>
      </c>
      <c r="AR125" s="65">
        <f>IF(Simulation!$D$42="Oui",Barèmes!$AT125,0)</f>
        <v>1.29E-2</v>
      </c>
      <c r="AS125" s="65">
        <f>IF(Simulation!$D$42="Oui",Barèmes!$AU125,0)</f>
        <v>8.6E-3</v>
      </c>
      <c r="AT125" s="678">
        <f t="shared" si="53"/>
        <v>1.29E-2</v>
      </c>
      <c r="AU125" s="678">
        <f t="shared" si="54"/>
        <v>8.6E-3</v>
      </c>
      <c r="AV125" s="65">
        <f t="shared" si="21"/>
        <v>2.7000000000000003E-2</v>
      </c>
      <c r="AW125" s="65">
        <f>IF(Simulation!$D$42="Oui",Barèmes!$AY125,0)</f>
        <v>1.6200000000000003E-2</v>
      </c>
      <c r="AX125" s="65">
        <f>IF(Simulation!$D$42="Oui",Barèmes!$AZ125,0)</f>
        <v>1.0800000000000001E-2</v>
      </c>
      <c r="AY125" s="678">
        <f t="shared" si="55"/>
        <v>1.6200000000000003E-2</v>
      </c>
      <c r="AZ125" s="678">
        <f t="shared" si="56"/>
        <v>1.0800000000000001E-2</v>
      </c>
      <c r="BA125" s="70">
        <f t="shared" si="70"/>
        <v>55.792436560972277</v>
      </c>
      <c r="BB125" s="70"/>
      <c r="BC125" s="70"/>
      <c r="BD125" s="70">
        <f t="shared" si="70"/>
        <v>3.6286064803707094</v>
      </c>
      <c r="BE125" s="70"/>
      <c r="BF125" s="70"/>
      <c r="BG125" s="71">
        <f t="shared" si="30"/>
        <v>3.5718535467311581</v>
      </c>
      <c r="BH125" s="71"/>
      <c r="BI125" s="71"/>
      <c r="BJ125" s="18">
        <f t="shared" si="62"/>
        <v>5976.3268600725705</v>
      </c>
      <c r="BL125" s="15">
        <v>2077</v>
      </c>
      <c r="BM125" s="22">
        <f>BM124*IF(Simulation!$D$35="SMPT",1+$E125,IF(Simulation!$D$35="PRIX",1+$B125))</f>
        <v>29949.660485475131</v>
      </c>
      <c r="BN125" s="23">
        <f>BN124*IF(Simulation!$D$35="SMPT",1+$E125,IF(Simulation!$D$35="PRIX",1+$B125))</f>
        <v>39154.035455853438</v>
      </c>
      <c r="BO125" s="23">
        <f>BO124*IF(Simulation!$D$35="SMPT",1+$E125,IF(Simulation!$D$35="PRIX",1+$B125))</f>
        <v>60765.676858065111</v>
      </c>
      <c r="BP125" s="5"/>
      <c r="BQ125" s="146">
        <v>0</v>
      </c>
      <c r="BR125" s="146">
        <v>4.2999999999999997E-2</v>
      </c>
      <c r="BS125" s="146">
        <v>7.3999999999999996E-2</v>
      </c>
      <c r="BT125" s="146">
        <v>9.0999999999999998E-2</v>
      </c>
      <c r="BV125" s="15">
        <v>2077</v>
      </c>
      <c r="BW125" s="22">
        <f>BW124*IF(Simulation!$D$35="SMPT",1+$E125,IF(Simulation!$D$35="PRIX",1+$B125))</f>
        <v>45943.115225790207</v>
      </c>
      <c r="BX125" s="23">
        <f>BX124*IF(Simulation!$D$35="SMPT",1+$E125,IF(Simulation!$D$35="PRIX",1+$B125))</f>
        <v>60062.090864893034</v>
      </c>
      <c r="BY125" s="23">
        <f>BY124*IF(Simulation!$D$35="SMPT",1+$E125,IF(Simulation!$D$35="PRIX",1+$B125))</f>
        <v>93209.392170083214</v>
      </c>
      <c r="BZ125" s="5"/>
      <c r="CA125" s="146">
        <v>0</v>
      </c>
      <c r="CB125" s="146">
        <f t="shared" si="41"/>
        <v>4.2999999999999997E-2</v>
      </c>
      <c r="CC125" s="146">
        <f t="shared" si="42"/>
        <v>7.3999999999999996E-2</v>
      </c>
      <c r="CD125" s="146">
        <f t="shared" si="43"/>
        <v>9.0999999999999998E-2</v>
      </c>
      <c r="CE125" s="146">
        <f t="shared" si="43"/>
        <v>3.2000000000000001E-2</v>
      </c>
      <c r="CG125" s="15">
        <v>2077</v>
      </c>
      <c r="CH125" s="317">
        <f t="shared" si="57"/>
        <v>9.1999999999999998E-2</v>
      </c>
      <c r="CI125" s="311">
        <f t="shared" si="25"/>
        <v>6.8000000000000005E-2</v>
      </c>
      <c r="CJ125" s="311">
        <f t="shared" si="26"/>
        <v>5.0000000000000001E-3</v>
      </c>
      <c r="CK125" s="311">
        <f t="shared" si="26"/>
        <v>0.98250000000000004</v>
      </c>
      <c r="CL125" s="313">
        <f t="shared" si="27"/>
        <v>0</v>
      </c>
      <c r="CM125" s="313">
        <v>0</v>
      </c>
      <c r="CN125" s="313">
        <v>0</v>
      </c>
      <c r="CO125" s="318">
        <f t="shared" si="28"/>
        <v>2.4000000000000001E-4</v>
      </c>
    </row>
    <row r="126" spans="1:93" x14ac:dyDescent="0.25">
      <c r="A126" s="15">
        <v>2078</v>
      </c>
      <c r="B126" s="55">
        <f t="shared" si="63"/>
        <v>1.7500000000000002E-2</v>
      </c>
      <c r="C126" s="61">
        <f t="shared" si="59"/>
        <v>2.6421997876072658</v>
      </c>
      <c r="D126" s="21">
        <f t="shared" si="64"/>
        <v>210429.17932515882</v>
      </c>
      <c r="E126" s="57">
        <f t="shared" si="65"/>
        <v>3.0727500000000019E-2</v>
      </c>
      <c r="F126" s="21">
        <f t="shared" si="66"/>
        <v>93549.492701948286</v>
      </c>
      <c r="G126" s="153">
        <f t="shared" si="29"/>
        <v>5.7292309985012038</v>
      </c>
      <c r="H126" s="357">
        <f t="shared" si="23"/>
        <v>3.0727500000000019E-2</v>
      </c>
      <c r="I126" s="15">
        <v>2078</v>
      </c>
      <c r="J126" s="13">
        <f t="shared" si="60"/>
        <v>106894.27100230911</v>
      </c>
      <c r="K126" s="65">
        <f t="shared" si="44"/>
        <v>0.17749999999999999</v>
      </c>
      <c r="L126" s="65">
        <f t="shared" si="36"/>
        <v>0.10450000000000001</v>
      </c>
      <c r="M126" s="65">
        <f t="shared" si="37"/>
        <v>7.2999999999999982E-2</v>
      </c>
      <c r="N126" s="65">
        <f t="shared" si="16"/>
        <v>2.3000000000000003E-2</v>
      </c>
      <c r="O126" s="65">
        <f>IF(Simulation!$D$43="Oui",$Q126,0)</f>
        <v>1.9000000000000003E-2</v>
      </c>
      <c r="P126" s="65">
        <f>IF(Simulation!$D$43="Oui",$R126,0)</f>
        <v>4.0000000000000001E-3</v>
      </c>
      <c r="Q126" s="678">
        <f t="shared" si="38"/>
        <v>1.9000000000000003E-2</v>
      </c>
      <c r="R126" s="678">
        <f t="shared" si="38"/>
        <v>4.0000000000000001E-3</v>
      </c>
      <c r="S126" s="21">
        <f t="shared" si="67"/>
        <v>7709.8495720931469</v>
      </c>
      <c r="T126" s="74">
        <f t="shared" si="68"/>
        <v>1.7500000000000002E-2</v>
      </c>
      <c r="U126" s="74">
        <f t="shared" si="68"/>
        <v>1.7500000000000002E-2</v>
      </c>
      <c r="V126" s="75">
        <f t="shared" si="61"/>
        <v>223760.91276485764</v>
      </c>
      <c r="W126" s="78">
        <f t="shared" si="69"/>
        <v>103004.80562890979</v>
      </c>
      <c r="X126" s="78">
        <f>IF(Simulation!$D$32="SMPT",(1+$E126)*X125,X125*(1+$U126))</f>
        <v>20457.660893617303</v>
      </c>
      <c r="Y126" s="78">
        <f>IF(Simulation!$D$32="SMPT",(1+$E126)*Y125,Y125*(1+$U126))</f>
        <v>22354.624690954457</v>
      </c>
      <c r="Z126" s="78">
        <f t="shared" si="45"/>
        <v>38137.988886502608</v>
      </c>
      <c r="AA126" s="58"/>
      <c r="AB126" s="15">
        <v>2078</v>
      </c>
      <c r="AC126" s="64">
        <f t="shared" si="46"/>
        <v>6.2E-2</v>
      </c>
      <c r="AD126" s="65">
        <f t="shared" si="39"/>
        <v>3.7200000000000004E-2</v>
      </c>
      <c r="AE126" s="65">
        <f t="shared" si="47"/>
        <v>2.4799999999999996E-2</v>
      </c>
      <c r="AF126" s="65">
        <f t="shared" si="48"/>
        <v>0.17</v>
      </c>
      <c r="AG126" s="65">
        <f t="shared" si="40"/>
        <v>0.10200000000000001</v>
      </c>
      <c r="AH126" s="65">
        <f t="shared" si="49"/>
        <v>6.8000000000000005E-2</v>
      </c>
      <c r="AI126" s="66">
        <f t="shared" si="50"/>
        <v>1.27</v>
      </c>
      <c r="AJ126" s="66"/>
      <c r="AK126" s="66"/>
      <c r="AL126" s="65">
        <f t="shared" si="20"/>
        <v>3.4999999999999996E-3</v>
      </c>
      <c r="AM126" s="65">
        <f>IF(Simulation!$D$42="Oui",Barèmes!$AO126,0)</f>
        <v>2.0999999999999999E-3</v>
      </c>
      <c r="AN126" s="65">
        <f>IF(Simulation!$D$42="Oui",Barèmes!$AP126,0)</f>
        <v>1.3999999999999998E-3</v>
      </c>
      <c r="AO126" s="678">
        <f t="shared" si="51"/>
        <v>2.0999999999999999E-3</v>
      </c>
      <c r="AP126" s="678">
        <f t="shared" si="52"/>
        <v>1.3999999999999998E-3</v>
      </c>
      <c r="AQ126" s="65">
        <f t="shared" si="71"/>
        <v>2.1499999999999998E-2</v>
      </c>
      <c r="AR126" s="65">
        <f>IF(Simulation!$D$42="Oui",Barèmes!$AT126,0)</f>
        <v>1.29E-2</v>
      </c>
      <c r="AS126" s="65">
        <f>IF(Simulation!$D$42="Oui",Barèmes!$AU126,0)</f>
        <v>8.6E-3</v>
      </c>
      <c r="AT126" s="678">
        <f t="shared" si="53"/>
        <v>1.29E-2</v>
      </c>
      <c r="AU126" s="678">
        <f t="shared" si="54"/>
        <v>8.6E-3</v>
      </c>
      <c r="AV126" s="65">
        <f t="shared" si="21"/>
        <v>2.7000000000000003E-2</v>
      </c>
      <c r="AW126" s="65">
        <f>IF(Simulation!$D$42="Oui",Barèmes!$AY126,0)</f>
        <v>1.6200000000000003E-2</v>
      </c>
      <c r="AX126" s="65">
        <f>IF(Simulation!$D$42="Oui",Barèmes!$AZ126,0)</f>
        <v>1.0800000000000001E-2</v>
      </c>
      <c r="AY126" s="678">
        <f t="shared" si="55"/>
        <v>1.6200000000000003E-2</v>
      </c>
      <c r="AZ126" s="678">
        <f t="shared" si="56"/>
        <v>1.0800000000000001E-2</v>
      </c>
      <c r="BA126" s="70">
        <f t="shared" si="70"/>
        <v>56.859606391292274</v>
      </c>
      <c r="BB126" s="70"/>
      <c r="BC126" s="70"/>
      <c r="BD126" s="70">
        <f t="shared" si="70"/>
        <v>3.6980126508239999</v>
      </c>
      <c r="BE126" s="70"/>
      <c r="BF126" s="70"/>
      <c r="BG126" s="71">
        <f t="shared" si="30"/>
        <v>3.640174175446258</v>
      </c>
      <c r="BH126" s="71"/>
      <c r="BI126" s="71"/>
      <c r="BJ126" s="18">
        <f t="shared" si="62"/>
        <v>6090.639052088608</v>
      </c>
      <c r="BL126" s="15">
        <v>2078</v>
      </c>
      <c r="BM126" s="22">
        <f>BM125*IF(Simulation!$D$35="SMPT",1+$E126,IF(Simulation!$D$35="PRIX",1+$B126))</f>
        <v>30473.779543970948</v>
      </c>
      <c r="BN126" s="23">
        <f>BN125*IF(Simulation!$D$35="SMPT",1+$E126,IF(Simulation!$D$35="PRIX",1+$B126))</f>
        <v>39839.231076330878</v>
      </c>
      <c r="BO126" s="23">
        <f>BO125*IF(Simulation!$D$35="SMPT",1+$E126,IF(Simulation!$D$35="PRIX",1+$B126))</f>
        <v>61829.076203081255</v>
      </c>
      <c r="BP126" s="5"/>
      <c r="BQ126" s="146">
        <v>0</v>
      </c>
      <c r="BR126" s="146">
        <v>4.2999999999999997E-2</v>
      </c>
      <c r="BS126" s="146">
        <v>7.3999999999999996E-2</v>
      </c>
      <c r="BT126" s="146">
        <v>9.0999999999999998E-2</v>
      </c>
      <c r="BV126" s="15">
        <v>2078</v>
      </c>
      <c r="BW126" s="22">
        <f>BW125*IF(Simulation!$D$35="SMPT",1+$E126,IF(Simulation!$D$35="PRIX",1+$B126))</f>
        <v>46747.119742241535</v>
      </c>
      <c r="BX126" s="23">
        <f>BX125*IF(Simulation!$D$35="SMPT",1+$E126,IF(Simulation!$D$35="PRIX",1+$B126))</f>
        <v>61113.177455028665</v>
      </c>
      <c r="BY126" s="23">
        <f>BY125*IF(Simulation!$D$35="SMPT",1+$E126,IF(Simulation!$D$35="PRIX",1+$B126))</f>
        <v>94840.556533059673</v>
      </c>
      <c r="BZ126" s="5"/>
      <c r="CA126" s="146">
        <v>0</v>
      </c>
      <c r="CB126" s="146">
        <f t="shared" si="41"/>
        <v>4.2999999999999997E-2</v>
      </c>
      <c r="CC126" s="146">
        <f t="shared" si="42"/>
        <v>7.3999999999999996E-2</v>
      </c>
      <c r="CD126" s="146">
        <f t="shared" si="43"/>
        <v>9.0999999999999998E-2</v>
      </c>
      <c r="CE126" s="146">
        <f t="shared" si="43"/>
        <v>3.2000000000000001E-2</v>
      </c>
      <c r="CG126" s="15">
        <v>2078</v>
      </c>
      <c r="CH126" s="317">
        <f t="shared" si="57"/>
        <v>9.1999999999999998E-2</v>
      </c>
      <c r="CI126" s="311">
        <f t="shared" si="25"/>
        <v>6.8000000000000005E-2</v>
      </c>
      <c r="CJ126" s="311">
        <f t="shared" si="26"/>
        <v>5.0000000000000001E-3</v>
      </c>
      <c r="CK126" s="311">
        <f t="shared" si="26"/>
        <v>0.98250000000000004</v>
      </c>
      <c r="CL126" s="313">
        <f t="shared" si="27"/>
        <v>0</v>
      </c>
      <c r="CM126" s="313">
        <v>0</v>
      </c>
      <c r="CN126" s="313">
        <v>0</v>
      </c>
      <c r="CO126" s="318">
        <f t="shared" si="28"/>
        <v>2.4000000000000001E-4</v>
      </c>
    </row>
    <row r="127" spans="1:93" x14ac:dyDescent="0.25">
      <c r="A127" s="15">
        <v>2079</v>
      </c>
      <c r="B127" s="55">
        <f t="shared" si="63"/>
        <v>1.7500000000000002E-2</v>
      </c>
      <c r="C127" s="61">
        <f t="shared" si="59"/>
        <v>2.6884382838903931</v>
      </c>
      <c r="D127" s="21">
        <f t="shared" si="64"/>
        <v>216895.14193287265</v>
      </c>
      <c r="E127" s="57">
        <f t="shared" si="65"/>
        <v>3.0727500000000019E-2</v>
      </c>
      <c r="F127" s="21">
        <f t="shared" si="66"/>
        <v>96424.034738947405</v>
      </c>
      <c r="G127" s="153">
        <f t="shared" si="29"/>
        <v>5.9052759440076494</v>
      </c>
      <c r="H127" s="357">
        <f t="shared" si="23"/>
        <v>3.0727500000000019E-2</v>
      </c>
      <c r="I127" s="15">
        <v>2079</v>
      </c>
      <c r="J127" s="13">
        <f t="shared" si="60"/>
        <v>110178.86471453255</v>
      </c>
      <c r="K127" s="65">
        <f t="shared" si="44"/>
        <v>0.17749999999999999</v>
      </c>
      <c r="L127" s="65">
        <f t="shared" si="36"/>
        <v>0.10450000000000001</v>
      </c>
      <c r="M127" s="65">
        <f t="shared" si="37"/>
        <v>7.2999999999999982E-2</v>
      </c>
      <c r="N127" s="65">
        <f t="shared" si="16"/>
        <v>2.3000000000000003E-2</v>
      </c>
      <c r="O127" s="65">
        <f>IF(Simulation!$D$43="Oui",$Q127,0)</f>
        <v>1.9000000000000003E-2</v>
      </c>
      <c r="P127" s="65">
        <f>IF(Simulation!$D$43="Oui",$R127,0)</f>
        <v>4.0000000000000001E-3</v>
      </c>
      <c r="Q127" s="678">
        <f t="shared" si="38"/>
        <v>1.9000000000000003E-2</v>
      </c>
      <c r="R127" s="678">
        <f t="shared" si="38"/>
        <v>4.0000000000000001E-3</v>
      </c>
      <c r="S127" s="21">
        <f t="shared" si="67"/>
        <v>7946.7539748196396</v>
      </c>
      <c r="T127" s="74">
        <f t="shared" si="68"/>
        <v>1.7500000000000002E-2</v>
      </c>
      <c r="U127" s="74">
        <f t="shared" si="68"/>
        <v>1.7500000000000002E-2</v>
      </c>
      <c r="V127" s="75">
        <f t="shared" si="61"/>
        <v>230636.52621183981</v>
      </c>
      <c r="W127" s="78">
        <f t="shared" si="69"/>
        <v>106169.88579387212</v>
      </c>
      <c r="X127" s="78">
        <f>IF(Simulation!$D$32="SMPT",(1+$E127)*X126,X126*(1+$U127))</f>
        <v>20815.669959255607</v>
      </c>
      <c r="Y127" s="78">
        <f>IF(Simulation!$D$32="SMPT",(1+$E127)*Y126,Y126*(1+$U127))</f>
        <v>22745.83062304616</v>
      </c>
      <c r="Z127" s="78">
        <f t="shared" si="45"/>
        <v>38805.403692016407</v>
      </c>
      <c r="AA127" s="58"/>
      <c r="AB127" s="15">
        <v>2079</v>
      </c>
      <c r="AC127" s="64">
        <f t="shared" si="46"/>
        <v>6.2E-2</v>
      </c>
      <c r="AD127" s="65">
        <f t="shared" si="39"/>
        <v>3.7200000000000004E-2</v>
      </c>
      <c r="AE127" s="65">
        <f t="shared" si="47"/>
        <v>2.4799999999999996E-2</v>
      </c>
      <c r="AF127" s="65">
        <f t="shared" si="48"/>
        <v>0.17</v>
      </c>
      <c r="AG127" s="65">
        <f t="shared" si="40"/>
        <v>0.10200000000000001</v>
      </c>
      <c r="AH127" s="65">
        <f t="shared" si="49"/>
        <v>6.8000000000000005E-2</v>
      </c>
      <c r="AI127" s="66">
        <f t="shared" si="50"/>
        <v>1.27</v>
      </c>
      <c r="AJ127" s="66"/>
      <c r="AK127" s="66"/>
      <c r="AL127" s="65">
        <f t="shared" si="20"/>
        <v>3.4999999999999996E-3</v>
      </c>
      <c r="AM127" s="65">
        <f>IF(Simulation!$D$42="Oui",Barèmes!$AO127,0)</f>
        <v>2.0999999999999999E-3</v>
      </c>
      <c r="AN127" s="65">
        <f>IF(Simulation!$D$42="Oui",Barèmes!$AP127,0)</f>
        <v>1.3999999999999998E-3</v>
      </c>
      <c r="AO127" s="678">
        <f t="shared" si="51"/>
        <v>2.0999999999999999E-3</v>
      </c>
      <c r="AP127" s="678">
        <f t="shared" si="52"/>
        <v>1.3999999999999998E-3</v>
      </c>
      <c r="AQ127" s="65">
        <f t="shared" si="71"/>
        <v>2.1499999999999998E-2</v>
      </c>
      <c r="AR127" s="65">
        <f>IF(Simulation!$D$42="Oui",Barèmes!$AT127,0)</f>
        <v>1.29E-2</v>
      </c>
      <c r="AS127" s="65">
        <f>IF(Simulation!$D$42="Oui",Barèmes!$AU127,0)</f>
        <v>8.6E-3</v>
      </c>
      <c r="AT127" s="678">
        <f t="shared" si="53"/>
        <v>1.29E-2</v>
      </c>
      <c r="AU127" s="678">
        <f t="shared" si="54"/>
        <v>8.6E-3</v>
      </c>
      <c r="AV127" s="65">
        <f t="shared" si="21"/>
        <v>2.7000000000000003E-2</v>
      </c>
      <c r="AW127" s="65">
        <f>IF(Simulation!$D$42="Oui",Barèmes!$AY127,0)</f>
        <v>1.6200000000000003E-2</v>
      </c>
      <c r="AX127" s="65">
        <f>IF(Simulation!$D$42="Oui",Barèmes!$AZ127,0)</f>
        <v>1.0800000000000001E-2</v>
      </c>
      <c r="AY127" s="678">
        <f t="shared" si="55"/>
        <v>1.6200000000000003E-2</v>
      </c>
      <c r="AZ127" s="678">
        <f t="shared" si="56"/>
        <v>1.0800000000000001E-2</v>
      </c>
      <c r="BA127" s="70">
        <f t="shared" si="70"/>
        <v>57.947188512541715</v>
      </c>
      <c r="BB127" s="70"/>
      <c r="BC127" s="70"/>
      <c r="BD127" s="70">
        <f t="shared" si="70"/>
        <v>3.7687463878026359</v>
      </c>
      <c r="BE127" s="70"/>
      <c r="BF127" s="70"/>
      <c r="BG127" s="71">
        <f t="shared" si="30"/>
        <v>3.709801606987106</v>
      </c>
      <c r="BH127" s="71"/>
      <c r="BI127" s="71"/>
      <c r="BJ127" s="18">
        <f t="shared" si="62"/>
        <v>6207.1377505574328</v>
      </c>
      <c r="BL127" s="15">
        <v>2079</v>
      </c>
      <c r="BM127" s="22">
        <f>BM126*IF(Simulation!$D$35="SMPT",1+$E127,IF(Simulation!$D$35="PRIX",1+$B127))</f>
        <v>31007.070685990442</v>
      </c>
      <c r="BN127" s="23">
        <f>BN126*IF(Simulation!$D$35="SMPT",1+$E127,IF(Simulation!$D$35="PRIX",1+$B127))</f>
        <v>40536.417620166671</v>
      </c>
      <c r="BO127" s="23">
        <f>BO126*IF(Simulation!$D$35="SMPT",1+$E127,IF(Simulation!$D$35="PRIX",1+$B127))</f>
        <v>62911.085036635181</v>
      </c>
      <c r="BP127" s="5"/>
      <c r="BQ127" s="146">
        <v>0</v>
      </c>
      <c r="BR127" s="146">
        <v>4.2999999999999997E-2</v>
      </c>
      <c r="BS127" s="146">
        <v>7.3999999999999996E-2</v>
      </c>
      <c r="BT127" s="146">
        <v>9.0999999999999998E-2</v>
      </c>
      <c r="BV127" s="15">
        <v>2079</v>
      </c>
      <c r="BW127" s="22">
        <f>BW126*IF(Simulation!$D$35="SMPT",1+$E127,IF(Simulation!$D$35="PRIX",1+$B127))</f>
        <v>47565.194337730769</v>
      </c>
      <c r="BX127" s="23">
        <f>BX126*IF(Simulation!$D$35="SMPT",1+$E127,IF(Simulation!$D$35="PRIX",1+$B127))</f>
        <v>62182.658060491667</v>
      </c>
      <c r="BY127" s="23">
        <f>BY126*IF(Simulation!$D$35="SMPT",1+$E127,IF(Simulation!$D$35="PRIX",1+$B127))</f>
        <v>96500.266272388224</v>
      </c>
      <c r="BZ127" s="5"/>
      <c r="CA127" s="146">
        <v>0</v>
      </c>
      <c r="CB127" s="146">
        <f t="shared" si="41"/>
        <v>4.2999999999999997E-2</v>
      </c>
      <c r="CC127" s="146">
        <f t="shared" si="42"/>
        <v>7.3999999999999996E-2</v>
      </c>
      <c r="CD127" s="146">
        <f t="shared" si="43"/>
        <v>9.0999999999999998E-2</v>
      </c>
      <c r="CE127" s="146">
        <f t="shared" si="43"/>
        <v>3.2000000000000001E-2</v>
      </c>
      <c r="CG127" s="15">
        <v>2079</v>
      </c>
      <c r="CH127" s="317">
        <f t="shared" si="57"/>
        <v>9.1999999999999998E-2</v>
      </c>
      <c r="CI127" s="311">
        <f t="shared" si="25"/>
        <v>6.8000000000000005E-2</v>
      </c>
      <c r="CJ127" s="311">
        <f t="shared" si="26"/>
        <v>5.0000000000000001E-3</v>
      </c>
      <c r="CK127" s="311">
        <f t="shared" si="26"/>
        <v>0.98250000000000004</v>
      </c>
      <c r="CL127" s="313">
        <f t="shared" si="27"/>
        <v>0</v>
      </c>
      <c r="CM127" s="313">
        <v>0</v>
      </c>
      <c r="CN127" s="313">
        <v>0</v>
      </c>
      <c r="CO127" s="318">
        <f t="shared" si="28"/>
        <v>2.4000000000000001E-4</v>
      </c>
    </row>
    <row r="128" spans="1:93" x14ac:dyDescent="0.25">
      <c r="A128" s="15">
        <v>2080</v>
      </c>
      <c r="B128" s="55">
        <f t="shared" si="63"/>
        <v>1.7500000000000002E-2</v>
      </c>
      <c r="C128" s="61">
        <f t="shared" si="59"/>
        <v>2.735485953858475</v>
      </c>
      <c r="D128" s="21">
        <f t="shared" si="64"/>
        <v>223559.78740661501</v>
      </c>
      <c r="E128" s="57">
        <f t="shared" si="65"/>
        <v>3.0727500000000019E-2</v>
      </c>
      <c r="F128" s="21">
        <f t="shared" si="66"/>
        <v>99386.904266388432</v>
      </c>
      <c r="G128" s="153">
        <f t="shared" si="29"/>
        <v>6.0867303105771455</v>
      </c>
      <c r="H128" s="357">
        <f t="shared" si="23"/>
        <v>3.0727500000000019E-2</v>
      </c>
      <c r="I128" s="15">
        <v>2080</v>
      </c>
      <c r="J128" s="13">
        <f t="shared" si="60"/>
        <v>113564.38578004837</v>
      </c>
      <c r="K128" s="65">
        <f t="shared" si="44"/>
        <v>0.17749999999999999</v>
      </c>
      <c r="L128" s="65">
        <f t="shared" si="36"/>
        <v>0.10450000000000001</v>
      </c>
      <c r="M128" s="65">
        <f t="shared" si="37"/>
        <v>7.2999999999999982E-2</v>
      </c>
      <c r="N128" s="65">
        <f t="shared" ref="N128:N148" si="72">O128+P128</f>
        <v>2.3000000000000003E-2</v>
      </c>
      <c r="O128" s="65">
        <f>IF(Simulation!$D$43="Oui",$Q128,0)</f>
        <v>1.9000000000000003E-2</v>
      </c>
      <c r="P128" s="65">
        <f>IF(Simulation!$D$43="Oui",$R128,0)</f>
        <v>4.0000000000000001E-3</v>
      </c>
      <c r="Q128" s="678">
        <f t="shared" si="38"/>
        <v>1.9000000000000003E-2</v>
      </c>
      <c r="R128" s="678">
        <f t="shared" si="38"/>
        <v>4.0000000000000001E-3</v>
      </c>
      <c r="S128" s="21">
        <f t="shared" si="67"/>
        <v>8190.9378575809105</v>
      </c>
      <c r="T128" s="74">
        <f t="shared" si="68"/>
        <v>1.7500000000000002E-2</v>
      </c>
      <c r="U128" s="74">
        <f t="shared" si="68"/>
        <v>1.7500000000000002E-2</v>
      </c>
      <c r="V128" s="75">
        <f t="shared" si="61"/>
        <v>237723.41007101414</v>
      </c>
      <c r="W128" s="78">
        <f t="shared" si="69"/>
        <v>109432.22095960334</v>
      </c>
      <c r="X128" s="78">
        <f>IF(Simulation!$D$32="SMPT",(1+$E128)*X127,X127*(1+$U128))</f>
        <v>21179.944183542582</v>
      </c>
      <c r="Y128" s="78">
        <f>IF(Simulation!$D$32="SMPT",(1+$E128)*Y127,Y127*(1+$U128))</f>
        <v>23143.882658949471</v>
      </c>
      <c r="Z128" s="78">
        <f t="shared" si="45"/>
        <v>39484.498256626699</v>
      </c>
      <c r="AA128" s="58"/>
      <c r="AB128" s="15">
        <v>2080</v>
      </c>
      <c r="AC128" s="64">
        <f t="shared" si="46"/>
        <v>6.2E-2</v>
      </c>
      <c r="AD128" s="65">
        <f t="shared" si="39"/>
        <v>3.7200000000000004E-2</v>
      </c>
      <c r="AE128" s="65">
        <f t="shared" si="47"/>
        <v>2.4799999999999996E-2</v>
      </c>
      <c r="AF128" s="65">
        <f t="shared" si="48"/>
        <v>0.17</v>
      </c>
      <c r="AG128" s="65">
        <f t="shared" si="40"/>
        <v>0.10200000000000001</v>
      </c>
      <c r="AH128" s="65">
        <f t="shared" si="49"/>
        <v>6.8000000000000005E-2</v>
      </c>
      <c r="AI128" s="66">
        <f t="shared" si="50"/>
        <v>1.27</v>
      </c>
      <c r="AJ128" s="66"/>
      <c r="AK128" s="66"/>
      <c r="AL128" s="65">
        <f t="shared" si="20"/>
        <v>3.4999999999999996E-3</v>
      </c>
      <c r="AM128" s="65">
        <f>IF(Simulation!$D$42="Oui",Barèmes!$AO128,0)</f>
        <v>2.0999999999999999E-3</v>
      </c>
      <c r="AN128" s="65">
        <f>IF(Simulation!$D$42="Oui",Barèmes!$AP128,0)</f>
        <v>1.3999999999999998E-3</v>
      </c>
      <c r="AO128" s="678">
        <f t="shared" si="51"/>
        <v>2.0999999999999999E-3</v>
      </c>
      <c r="AP128" s="678">
        <f t="shared" si="52"/>
        <v>1.3999999999999998E-3</v>
      </c>
      <c r="AQ128" s="65">
        <f t="shared" si="71"/>
        <v>2.1499999999999998E-2</v>
      </c>
      <c r="AR128" s="65">
        <f>IF(Simulation!$D$42="Oui",Barèmes!$AT128,0)</f>
        <v>1.29E-2</v>
      </c>
      <c r="AS128" s="65">
        <f>IF(Simulation!$D$42="Oui",Barèmes!$AU128,0)</f>
        <v>8.6E-3</v>
      </c>
      <c r="AT128" s="678">
        <f t="shared" si="53"/>
        <v>1.29E-2</v>
      </c>
      <c r="AU128" s="678">
        <f t="shared" si="54"/>
        <v>8.6E-3</v>
      </c>
      <c r="AV128" s="65">
        <f t="shared" si="21"/>
        <v>2.7000000000000003E-2</v>
      </c>
      <c r="AW128" s="65">
        <f>IF(Simulation!$D$42="Oui",Barèmes!$AY128,0)</f>
        <v>1.6200000000000003E-2</v>
      </c>
      <c r="AX128" s="65">
        <f>IF(Simulation!$D$42="Oui",Barèmes!$AZ128,0)</f>
        <v>1.0800000000000001E-2</v>
      </c>
      <c r="AY128" s="678">
        <f t="shared" si="55"/>
        <v>1.6200000000000003E-2</v>
      </c>
      <c r="AZ128" s="678">
        <f t="shared" si="56"/>
        <v>1.0800000000000001E-2</v>
      </c>
      <c r="BA128" s="70">
        <f t="shared" si="70"/>
        <v>59.055573360815352</v>
      </c>
      <c r="BB128" s="70"/>
      <c r="BC128" s="70"/>
      <c r="BD128" s="70">
        <f t="shared" si="70"/>
        <v>3.8408330843353307</v>
      </c>
      <c r="BE128" s="70"/>
      <c r="BF128" s="70"/>
      <c r="BG128" s="71">
        <f t="shared" si="30"/>
        <v>3.7807608372247516</v>
      </c>
      <c r="BH128" s="71"/>
      <c r="BI128" s="71"/>
      <c r="BJ128" s="18">
        <f t="shared" si="62"/>
        <v>6325.8647778812201</v>
      </c>
      <c r="BL128" s="15">
        <v>2080</v>
      </c>
      <c r="BM128" s="22">
        <f>BM127*IF(Simulation!$D$35="SMPT",1+$E128,IF(Simulation!$D$35="PRIX",1+$B128))</f>
        <v>31549.694422995279</v>
      </c>
      <c r="BN128" s="23">
        <f>BN127*IF(Simulation!$D$35="SMPT",1+$E128,IF(Simulation!$D$35="PRIX",1+$B128))</f>
        <v>41245.804928519588</v>
      </c>
      <c r="BO128" s="23">
        <f>BO127*IF(Simulation!$D$35="SMPT",1+$E128,IF(Simulation!$D$35="PRIX",1+$B128))</f>
        <v>64012.029024776304</v>
      </c>
      <c r="BP128" s="5"/>
      <c r="BQ128" s="146">
        <v>0</v>
      </c>
      <c r="BR128" s="146">
        <v>4.2999999999999997E-2</v>
      </c>
      <c r="BS128" s="146">
        <v>7.3999999999999996E-2</v>
      </c>
      <c r="BT128" s="146">
        <v>9.0999999999999998E-2</v>
      </c>
      <c r="BV128" s="15">
        <v>2080</v>
      </c>
      <c r="BW128" s="22">
        <f>BW127*IF(Simulation!$D$35="SMPT",1+$E128,IF(Simulation!$D$35="PRIX",1+$B128))</f>
        <v>48397.585238641062</v>
      </c>
      <c r="BX128" s="23">
        <f>BX127*IF(Simulation!$D$35="SMPT",1+$E128,IF(Simulation!$D$35="PRIX",1+$B128))</f>
        <v>63270.854576550279</v>
      </c>
      <c r="BY128" s="23">
        <f>BY127*IF(Simulation!$D$35="SMPT",1+$E128,IF(Simulation!$D$35="PRIX",1+$B128))</f>
        <v>98189.020932155021</v>
      </c>
      <c r="BZ128" s="5"/>
      <c r="CA128" s="146">
        <v>0</v>
      </c>
      <c r="CB128" s="146">
        <f t="shared" si="41"/>
        <v>4.2999999999999997E-2</v>
      </c>
      <c r="CC128" s="146">
        <f t="shared" si="42"/>
        <v>7.3999999999999996E-2</v>
      </c>
      <c r="CD128" s="146">
        <f t="shared" si="43"/>
        <v>9.0999999999999998E-2</v>
      </c>
      <c r="CE128" s="146">
        <f t="shared" si="43"/>
        <v>3.2000000000000001E-2</v>
      </c>
      <c r="CG128" s="15">
        <v>2080</v>
      </c>
      <c r="CH128" s="317">
        <f t="shared" si="57"/>
        <v>9.1999999999999998E-2</v>
      </c>
      <c r="CI128" s="311">
        <f t="shared" si="25"/>
        <v>6.8000000000000005E-2</v>
      </c>
      <c r="CJ128" s="311">
        <f t="shared" si="26"/>
        <v>5.0000000000000001E-3</v>
      </c>
      <c r="CK128" s="311">
        <f t="shared" si="26"/>
        <v>0.98250000000000004</v>
      </c>
      <c r="CL128" s="313">
        <f t="shared" si="27"/>
        <v>0</v>
      </c>
      <c r="CM128" s="313">
        <v>0</v>
      </c>
      <c r="CN128" s="313">
        <v>0</v>
      </c>
      <c r="CO128" s="318">
        <f t="shared" si="28"/>
        <v>2.4000000000000001E-4</v>
      </c>
    </row>
    <row r="129" spans="1:93" x14ac:dyDescent="0.25">
      <c r="A129" s="15">
        <v>2081</v>
      </c>
      <c r="B129" s="55">
        <f t="shared" si="63"/>
        <v>1.7500000000000002E-2</v>
      </c>
      <c r="C129" s="61">
        <f t="shared" si="59"/>
        <v>2.7833569580509985</v>
      </c>
      <c r="D129" s="21">
        <f t="shared" si="64"/>
        <v>230429.22077415176</v>
      </c>
      <c r="E129" s="57">
        <f t="shared" si="65"/>
        <v>3.0727500000000019E-2</v>
      </c>
      <c r="F129" s="21">
        <f t="shared" si="66"/>
        <v>102440.81536723388</v>
      </c>
      <c r="G129" s="153">
        <f t="shared" si="29"/>
        <v>6.2737603161954043</v>
      </c>
      <c r="H129" s="357">
        <f t="shared" si="23"/>
        <v>3.0727500000000019E-2</v>
      </c>
      <c r="I129" s="15">
        <v>2081</v>
      </c>
      <c r="J129" s="13">
        <f t="shared" si="60"/>
        <v>117053.93544410479</v>
      </c>
      <c r="K129" s="65">
        <f t="shared" si="44"/>
        <v>0.17749999999999999</v>
      </c>
      <c r="L129" s="65">
        <f t="shared" si="36"/>
        <v>0.10450000000000001</v>
      </c>
      <c r="M129" s="65">
        <f t="shared" si="37"/>
        <v>7.2999999999999982E-2</v>
      </c>
      <c r="N129" s="65">
        <f t="shared" si="72"/>
        <v>2.3000000000000003E-2</v>
      </c>
      <c r="O129" s="65">
        <f>IF(Simulation!$D$43="Oui",$Q129,0)</f>
        <v>1.9000000000000003E-2</v>
      </c>
      <c r="P129" s="65">
        <f>IF(Simulation!$D$43="Oui",$R129,0)</f>
        <v>4.0000000000000001E-3</v>
      </c>
      <c r="Q129" s="678">
        <f t="shared" si="38"/>
        <v>1.9000000000000003E-2</v>
      </c>
      <c r="R129" s="678">
        <f t="shared" si="38"/>
        <v>4.0000000000000001E-3</v>
      </c>
      <c r="S129" s="21">
        <f t="shared" si="67"/>
        <v>8442.6249005997288</v>
      </c>
      <c r="T129" s="74">
        <f t="shared" si="68"/>
        <v>1.7500000000000002E-2</v>
      </c>
      <c r="U129" s="74">
        <f t="shared" si="68"/>
        <v>1.7500000000000002E-2</v>
      </c>
      <c r="V129" s="75">
        <f t="shared" si="61"/>
        <v>245028.05615397121</v>
      </c>
      <c r="W129" s="78">
        <f t="shared" si="69"/>
        <v>112794.79952913956</v>
      </c>
      <c r="X129" s="78">
        <f>IF(Simulation!$D$32="SMPT",(1+$E129)*X128,X128*(1+$U129))</f>
        <v>21550.59320675458</v>
      </c>
      <c r="Y129" s="78">
        <f>IF(Simulation!$D$32="SMPT",(1+$E129)*Y128,Y128*(1+$U129))</f>
        <v>23548.900605481089</v>
      </c>
      <c r="Z129" s="78">
        <f t="shared" si="45"/>
        <v>40175.476976117672</v>
      </c>
      <c r="AA129" s="58"/>
      <c r="AB129" s="15">
        <v>2081</v>
      </c>
      <c r="AC129" s="64">
        <f t="shared" si="46"/>
        <v>6.2E-2</v>
      </c>
      <c r="AD129" s="65">
        <f t="shared" si="39"/>
        <v>3.7200000000000004E-2</v>
      </c>
      <c r="AE129" s="65">
        <f t="shared" si="47"/>
        <v>2.4799999999999996E-2</v>
      </c>
      <c r="AF129" s="65">
        <f t="shared" si="48"/>
        <v>0.17</v>
      </c>
      <c r="AG129" s="65">
        <f t="shared" si="40"/>
        <v>0.10200000000000001</v>
      </c>
      <c r="AH129" s="65">
        <f t="shared" si="49"/>
        <v>6.8000000000000005E-2</v>
      </c>
      <c r="AI129" s="66">
        <f t="shared" si="50"/>
        <v>1.27</v>
      </c>
      <c r="AJ129" s="66"/>
      <c r="AK129" s="66"/>
      <c r="AL129" s="65">
        <f t="shared" ref="AL129:AL148" si="73">AM129+AN129</f>
        <v>3.4999999999999996E-3</v>
      </c>
      <c r="AM129" s="65">
        <f>IF(Simulation!$D$42="Oui",Barèmes!$AO129,0)</f>
        <v>2.0999999999999999E-3</v>
      </c>
      <c r="AN129" s="65">
        <f>IF(Simulation!$D$42="Oui",Barèmes!$AP129,0)</f>
        <v>1.3999999999999998E-3</v>
      </c>
      <c r="AO129" s="678">
        <f t="shared" si="51"/>
        <v>2.0999999999999999E-3</v>
      </c>
      <c r="AP129" s="678">
        <f t="shared" si="52"/>
        <v>1.3999999999999998E-3</v>
      </c>
      <c r="AQ129" s="65">
        <f t="shared" si="71"/>
        <v>2.1499999999999998E-2</v>
      </c>
      <c r="AR129" s="65">
        <f>IF(Simulation!$D$42="Oui",Barèmes!$AT129,0)</f>
        <v>1.29E-2</v>
      </c>
      <c r="AS129" s="65">
        <f>IF(Simulation!$D$42="Oui",Barèmes!$AU129,0)</f>
        <v>8.6E-3</v>
      </c>
      <c r="AT129" s="678">
        <f t="shared" si="53"/>
        <v>1.29E-2</v>
      </c>
      <c r="AU129" s="678">
        <f t="shared" si="54"/>
        <v>8.6E-3</v>
      </c>
      <c r="AV129" s="65">
        <f t="shared" ref="AV129:AV148" si="74">AW129+AX129</f>
        <v>2.7000000000000003E-2</v>
      </c>
      <c r="AW129" s="65">
        <f>IF(Simulation!$D$42="Oui",Barèmes!$AY129,0)</f>
        <v>1.6200000000000003E-2</v>
      </c>
      <c r="AX129" s="65">
        <f>IF(Simulation!$D$42="Oui",Barèmes!$AZ129,0)</f>
        <v>1.0800000000000001E-2</v>
      </c>
      <c r="AY129" s="678">
        <f t="shared" si="55"/>
        <v>1.6200000000000003E-2</v>
      </c>
      <c r="AZ129" s="678">
        <f t="shared" si="56"/>
        <v>1.0800000000000001E-2</v>
      </c>
      <c r="BA129" s="70">
        <f t="shared" si="70"/>
        <v>60.185158840274347</v>
      </c>
      <c r="BB129" s="70"/>
      <c r="BC129" s="70"/>
      <c r="BD129" s="70">
        <f t="shared" si="70"/>
        <v>3.9142986191559546</v>
      </c>
      <c r="BE129" s="70"/>
      <c r="BF129" s="70"/>
      <c r="BG129" s="71">
        <f t="shared" si="30"/>
        <v>3.8530773401387677</v>
      </c>
      <c r="BH129" s="71"/>
      <c r="BI129" s="71"/>
      <c r="BJ129" s="18">
        <f t="shared" si="62"/>
        <v>6446.8627564201424</v>
      </c>
      <c r="BL129" s="15">
        <v>2081</v>
      </c>
      <c r="BM129" s="22">
        <f>BM128*IF(Simulation!$D$35="SMPT",1+$E129,IF(Simulation!$D$35="PRIX",1+$B129))</f>
        <v>32101.814075397699</v>
      </c>
      <c r="BN129" s="23">
        <f>BN128*IF(Simulation!$D$35="SMPT",1+$E129,IF(Simulation!$D$35="PRIX",1+$B129))</f>
        <v>41967.606514768682</v>
      </c>
      <c r="BO129" s="23">
        <f>BO128*IF(Simulation!$D$35="SMPT",1+$E129,IF(Simulation!$D$35="PRIX",1+$B129))</f>
        <v>65132.239532709893</v>
      </c>
      <c r="BP129" s="5"/>
      <c r="BQ129" s="146">
        <v>0</v>
      </c>
      <c r="BR129" s="146">
        <v>4.2999999999999997E-2</v>
      </c>
      <c r="BS129" s="146">
        <v>7.3999999999999996E-2</v>
      </c>
      <c r="BT129" s="146">
        <v>9.0999999999999998E-2</v>
      </c>
      <c r="BV129" s="15">
        <v>2081</v>
      </c>
      <c r="BW129" s="22">
        <f>BW128*IF(Simulation!$D$35="SMPT",1+$E129,IF(Simulation!$D$35="PRIX",1+$B129))</f>
        <v>49244.542980317281</v>
      </c>
      <c r="BX129" s="23">
        <f>BX128*IF(Simulation!$D$35="SMPT",1+$E129,IF(Simulation!$D$35="PRIX",1+$B129))</f>
        <v>64378.094531639916</v>
      </c>
      <c r="BY129" s="23">
        <f>BY128*IF(Simulation!$D$35="SMPT",1+$E129,IF(Simulation!$D$35="PRIX",1+$B129))</f>
        <v>99907.328798467744</v>
      </c>
      <c r="BZ129" s="5"/>
      <c r="CA129" s="146">
        <v>0</v>
      </c>
      <c r="CB129" s="146">
        <f t="shared" si="41"/>
        <v>4.2999999999999997E-2</v>
      </c>
      <c r="CC129" s="146">
        <f t="shared" si="42"/>
        <v>7.3999999999999996E-2</v>
      </c>
      <c r="CD129" s="146">
        <f t="shared" si="43"/>
        <v>9.0999999999999998E-2</v>
      </c>
      <c r="CE129" s="146">
        <f t="shared" si="43"/>
        <v>3.2000000000000001E-2</v>
      </c>
      <c r="CG129" s="15">
        <v>2081</v>
      </c>
      <c r="CH129" s="317">
        <f t="shared" si="57"/>
        <v>9.1999999999999998E-2</v>
      </c>
      <c r="CI129" s="311">
        <f t="shared" si="25"/>
        <v>6.8000000000000005E-2</v>
      </c>
      <c r="CJ129" s="311">
        <f t="shared" si="26"/>
        <v>5.0000000000000001E-3</v>
      </c>
      <c r="CK129" s="311">
        <f t="shared" si="26"/>
        <v>0.98250000000000004</v>
      </c>
      <c r="CL129" s="313">
        <f t="shared" si="27"/>
        <v>0</v>
      </c>
      <c r="CM129" s="313">
        <v>0</v>
      </c>
      <c r="CN129" s="313">
        <v>0</v>
      </c>
      <c r="CO129" s="318">
        <f t="shared" si="28"/>
        <v>2.4000000000000001E-4</v>
      </c>
    </row>
    <row r="130" spans="1:93" x14ac:dyDescent="0.25">
      <c r="A130" s="15">
        <v>2082</v>
      </c>
      <c r="B130" s="55">
        <f t="shared" si="63"/>
        <v>1.7500000000000002E-2</v>
      </c>
      <c r="C130" s="61">
        <f t="shared" si="59"/>
        <v>2.8320657048168911</v>
      </c>
      <c r="D130" s="21">
        <f t="shared" si="64"/>
        <v>237509.7346554895</v>
      </c>
      <c r="E130" s="57">
        <f t="shared" si="65"/>
        <v>3.0727500000000019E-2</v>
      </c>
      <c r="F130" s="21">
        <f t="shared" si="66"/>
        <v>105588.56552143056</v>
      </c>
      <c r="G130" s="153">
        <f t="shared" si="29"/>
        <v>6.466537286311298</v>
      </c>
      <c r="H130" s="357">
        <f t="shared" si="23"/>
        <v>3.0727500000000019E-2</v>
      </c>
      <c r="I130" s="15">
        <v>2082</v>
      </c>
      <c r="J130" s="13">
        <f t="shared" si="60"/>
        <v>120650.71024546352</v>
      </c>
      <c r="K130" s="65">
        <f t="shared" si="44"/>
        <v>0.17749999999999999</v>
      </c>
      <c r="L130" s="65">
        <f t="shared" si="36"/>
        <v>0.10450000000000001</v>
      </c>
      <c r="M130" s="65">
        <f t="shared" ref="M130:M148" si="75">K130-L130</f>
        <v>7.2999999999999982E-2</v>
      </c>
      <c r="N130" s="65">
        <f t="shared" si="72"/>
        <v>2.3000000000000003E-2</v>
      </c>
      <c r="O130" s="65">
        <f>IF(Simulation!$D$43="Oui",$Q130,0)</f>
        <v>1.9000000000000003E-2</v>
      </c>
      <c r="P130" s="65">
        <f>IF(Simulation!$D$43="Oui",$R130,0)</f>
        <v>4.0000000000000001E-3</v>
      </c>
      <c r="Q130" s="678">
        <f t="shared" si="38"/>
        <v>1.9000000000000003E-2</v>
      </c>
      <c r="R130" s="678">
        <f t="shared" si="38"/>
        <v>4.0000000000000001E-3</v>
      </c>
      <c r="S130" s="21">
        <f t="shared" si="67"/>
        <v>8702.0456572329076</v>
      </c>
      <c r="T130" s="74">
        <f t="shared" si="68"/>
        <v>1.7500000000000002E-2</v>
      </c>
      <c r="U130" s="74">
        <f t="shared" si="68"/>
        <v>1.7500000000000002E-2</v>
      </c>
      <c r="V130" s="75">
        <f t="shared" si="61"/>
        <v>252557.15574944235</v>
      </c>
      <c r="W130" s="78">
        <f t="shared" si="69"/>
        <v>116260.70173167122</v>
      </c>
      <c r="X130" s="78">
        <f>IF(Simulation!$D$32="SMPT",(1+$E130)*X129,X129*(1+$U130))</f>
        <v>21927.728587872785</v>
      </c>
      <c r="Y130" s="78">
        <f>IF(Simulation!$D$32="SMPT",(1+$E130)*Y129,Y129*(1+$U130))</f>
        <v>23961.00636607701</v>
      </c>
      <c r="Z130" s="78">
        <f t="shared" si="45"/>
        <v>40878.547823199733</v>
      </c>
      <c r="AA130" s="58"/>
      <c r="AB130" s="15">
        <v>2082</v>
      </c>
      <c r="AC130" s="64">
        <f t="shared" si="46"/>
        <v>6.2E-2</v>
      </c>
      <c r="AD130" s="65">
        <f t="shared" si="39"/>
        <v>3.7200000000000004E-2</v>
      </c>
      <c r="AE130" s="65">
        <f t="shared" ref="AE130:AE148" si="76">AC130-AD130</f>
        <v>2.4799999999999996E-2</v>
      </c>
      <c r="AF130" s="65">
        <f t="shared" si="48"/>
        <v>0.17</v>
      </c>
      <c r="AG130" s="65">
        <f t="shared" si="40"/>
        <v>0.10200000000000001</v>
      </c>
      <c r="AH130" s="65">
        <f t="shared" ref="AH130:AH148" si="77">AF130-AG130</f>
        <v>6.8000000000000005E-2</v>
      </c>
      <c r="AI130" s="66">
        <f t="shared" si="50"/>
        <v>1.27</v>
      </c>
      <c r="AJ130" s="66"/>
      <c r="AK130" s="66"/>
      <c r="AL130" s="65">
        <f t="shared" si="73"/>
        <v>3.4999999999999996E-3</v>
      </c>
      <c r="AM130" s="65">
        <f>IF(Simulation!$D$42="Oui",Barèmes!$AO130,0)</f>
        <v>2.0999999999999999E-3</v>
      </c>
      <c r="AN130" s="65">
        <f>IF(Simulation!$D$42="Oui",Barèmes!$AP130,0)</f>
        <v>1.3999999999999998E-3</v>
      </c>
      <c r="AO130" s="678">
        <f t="shared" si="51"/>
        <v>2.0999999999999999E-3</v>
      </c>
      <c r="AP130" s="678">
        <f t="shared" si="52"/>
        <v>1.3999999999999998E-3</v>
      </c>
      <c r="AQ130" s="65">
        <f t="shared" si="71"/>
        <v>2.1499999999999998E-2</v>
      </c>
      <c r="AR130" s="65">
        <f>IF(Simulation!$D$42="Oui",Barèmes!$AT130,0)</f>
        <v>1.29E-2</v>
      </c>
      <c r="AS130" s="65">
        <f>IF(Simulation!$D$42="Oui",Barèmes!$AU130,0)</f>
        <v>8.6E-3</v>
      </c>
      <c r="AT130" s="678">
        <f t="shared" si="53"/>
        <v>1.29E-2</v>
      </c>
      <c r="AU130" s="678">
        <f t="shared" si="54"/>
        <v>8.6E-3</v>
      </c>
      <c r="AV130" s="65">
        <f t="shared" si="74"/>
        <v>2.7000000000000003E-2</v>
      </c>
      <c r="AW130" s="65">
        <f>IF(Simulation!$D$42="Oui",Barèmes!$AY130,0)</f>
        <v>1.6200000000000003E-2</v>
      </c>
      <c r="AX130" s="65">
        <f>IF(Simulation!$D$42="Oui",Barèmes!$AZ130,0)</f>
        <v>1.0800000000000001E-2</v>
      </c>
      <c r="AY130" s="678">
        <f t="shared" si="55"/>
        <v>1.6200000000000003E-2</v>
      </c>
      <c r="AZ130" s="678">
        <f t="shared" si="56"/>
        <v>1.0800000000000001E-2</v>
      </c>
      <c r="BA130" s="70">
        <f t="shared" si="70"/>
        <v>61.336350465991693</v>
      </c>
      <c r="BB130" s="70"/>
      <c r="BC130" s="70"/>
      <c r="BD130" s="70">
        <f t="shared" si="70"/>
        <v>3.9891693659938601</v>
      </c>
      <c r="BE130" s="70"/>
      <c r="BF130" s="70"/>
      <c r="BG130" s="71">
        <f t="shared" si="30"/>
        <v>3.9267770769622725</v>
      </c>
      <c r="BH130" s="71"/>
      <c r="BI130" s="71"/>
      <c r="BJ130" s="18">
        <f t="shared" si="62"/>
        <v>6570.1751237935687</v>
      </c>
      <c r="BL130" s="15">
        <v>2082</v>
      </c>
      <c r="BM130" s="22">
        <f>BM129*IF(Simulation!$D$35="SMPT",1+$E130,IF(Simulation!$D$35="PRIX",1+$B130))</f>
        <v>32663.595821717161</v>
      </c>
      <c r="BN130" s="23">
        <f>BN129*IF(Simulation!$D$35="SMPT",1+$E130,IF(Simulation!$D$35="PRIX",1+$B130))</f>
        <v>42702.039628777136</v>
      </c>
      <c r="BO130" s="23">
        <f>BO129*IF(Simulation!$D$35="SMPT",1+$E130,IF(Simulation!$D$35="PRIX",1+$B130))</f>
        <v>66272.053724532321</v>
      </c>
      <c r="BP130" s="5"/>
      <c r="BQ130" s="146">
        <v>0</v>
      </c>
      <c r="BR130" s="146">
        <v>4.2999999999999997E-2</v>
      </c>
      <c r="BS130" s="146">
        <v>7.3999999999999996E-2</v>
      </c>
      <c r="BT130" s="146">
        <v>9.0999999999999998E-2</v>
      </c>
      <c r="BV130" s="15">
        <v>2082</v>
      </c>
      <c r="BW130" s="22">
        <f>BW129*IF(Simulation!$D$35="SMPT",1+$E130,IF(Simulation!$D$35="PRIX",1+$B130))</f>
        <v>50106.322482472839</v>
      </c>
      <c r="BX130" s="23">
        <f>BX129*IF(Simulation!$D$35="SMPT",1+$E130,IF(Simulation!$D$35="PRIX",1+$B130))</f>
        <v>65504.711185943619</v>
      </c>
      <c r="BY130" s="23">
        <f>BY129*IF(Simulation!$D$35="SMPT",1+$E130,IF(Simulation!$D$35="PRIX",1+$B130))</f>
        <v>101655.70705244094</v>
      </c>
      <c r="BZ130" s="5"/>
      <c r="CA130" s="146">
        <v>0</v>
      </c>
      <c r="CB130" s="146">
        <f t="shared" si="41"/>
        <v>4.2999999999999997E-2</v>
      </c>
      <c r="CC130" s="146">
        <f t="shared" si="42"/>
        <v>7.3999999999999996E-2</v>
      </c>
      <c r="CD130" s="146">
        <f t="shared" si="43"/>
        <v>9.0999999999999998E-2</v>
      </c>
      <c r="CE130" s="146">
        <f t="shared" si="43"/>
        <v>3.2000000000000001E-2</v>
      </c>
      <c r="CG130" s="15">
        <v>2082</v>
      </c>
      <c r="CH130" s="317">
        <f t="shared" si="57"/>
        <v>9.1999999999999998E-2</v>
      </c>
      <c r="CI130" s="311">
        <f t="shared" si="25"/>
        <v>6.8000000000000005E-2</v>
      </c>
      <c r="CJ130" s="311">
        <f t="shared" si="26"/>
        <v>5.0000000000000001E-3</v>
      </c>
      <c r="CK130" s="311">
        <f t="shared" si="26"/>
        <v>0.98250000000000004</v>
      </c>
      <c r="CL130" s="313">
        <f t="shared" si="27"/>
        <v>0</v>
      </c>
      <c r="CM130" s="313">
        <v>0</v>
      </c>
      <c r="CN130" s="313">
        <v>0</v>
      </c>
      <c r="CO130" s="318">
        <f t="shared" si="28"/>
        <v>2.4000000000000001E-4</v>
      </c>
    </row>
    <row r="131" spans="1:93" x14ac:dyDescent="0.25">
      <c r="A131" s="15">
        <v>2083</v>
      </c>
      <c r="B131" s="55">
        <f t="shared" si="63"/>
        <v>1.7500000000000002E-2</v>
      </c>
      <c r="C131" s="61">
        <f t="shared" si="59"/>
        <v>2.881626854651187</v>
      </c>
      <c r="D131" s="21">
        <f t="shared" si="64"/>
        <v>244807.81502711607</v>
      </c>
      <c r="E131" s="57">
        <f t="shared" si="65"/>
        <v>3.0727500000000019E-2</v>
      </c>
      <c r="F131" s="21">
        <f t="shared" si="66"/>
        <v>108833.03816849033</v>
      </c>
      <c r="G131" s="153">
        <f t="shared" si="29"/>
        <v>6.6652378107764294</v>
      </c>
      <c r="H131" s="357">
        <f t="shared" ref="H131:H148" si="78">V131/V130-1</f>
        <v>3.0727500000000019E-2</v>
      </c>
      <c r="I131" s="15">
        <v>2083</v>
      </c>
      <c r="J131" s="13">
        <f t="shared" si="60"/>
        <v>124358.004944531</v>
      </c>
      <c r="K131" s="65">
        <f t="shared" si="44"/>
        <v>0.17749999999999999</v>
      </c>
      <c r="L131" s="65">
        <f t="shared" ref="L131:L134" si="79">L130</f>
        <v>0.10450000000000001</v>
      </c>
      <c r="M131" s="65">
        <f t="shared" si="75"/>
        <v>7.2999999999999982E-2</v>
      </c>
      <c r="N131" s="65">
        <f t="shared" si="72"/>
        <v>2.3000000000000003E-2</v>
      </c>
      <c r="O131" s="65">
        <f>IF(Simulation!$D$43="Oui",$Q131,0)</f>
        <v>1.9000000000000003E-2</v>
      </c>
      <c r="P131" s="65">
        <f>IF(Simulation!$D$43="Oui",$R131,0)</f>
        <v>4.0000000000000001E-3</v>
      </c>
      <c r="Q131" s="678">
        <f t="shared" ref="Q131:R131" si="80">Q130</f>
        <v>1.9000000000000003E-2</v>
      </c>
      <c r="R131" s="678">
        <f t="shared" si="80"/>
        <v>4.0000000000000001E-3</v>
      </c>
      <c r="S131" s="21">
        <f t="shared" si="67"/>
        <v>8969.4377651655323</v>
      </c>
      <c r="T131" s="74">
        <f t="shared" si="68"/>
        <v>1.7500000000000002E-2</v>
      </c>
      <c r="U131" s="74">
        <f t="shared" si="68"/>
        <v>1.7500000000000002E-2</v>
      </c>
      <c r="V131" s="75">
        <f t="shared" si="61"/>
        <v>260317.60575273333</v>
      </c>
      <c r="W131" s="78">
        <f t="shared" si="69"/>
        <v>119833.10244413115</v>
      </c>
      <c r="X131" s="78">
        <f>IF(Simulation!$D$32="SMPT",(1+$E131)*X130,X130*(1+$U131))</f>
        <v>22311.463838160562</v>
      </c>
      <c r="Y131" s="78">
        <f>IF(Simulation!$D$32="SMPT",(1+$E131)*Y130,Y130*(1+$U131))</f>
        <v>24380.32397748336</v>
      </c>
      <c r="Z131" s="78">
        <f t="shared" si="45"/>
        <v>41593.922410105733</v>
      </c>
      <c r="AA131" s="58"/>
      <c r="AB131" s="15">
        <v>2083</v>
      </c>
      <c r="AC131" s="64">
        <f t="shared" si="46"/>
        <v>6.2E-2</v>
      </c>
      <c r="AD131" s="65">
        <f t="shared" si="39"/>
        <v>3.7200000000000004E-2</v>
      </c>
      <c r="AE131" s="65">
        <f t="shared" si="76"/>
        <v>2.4799999999999996E-2</v>
      </c>
      <c r="AF131" s="65">
        <f t="shared" si="48"/>
        <v>0.17</v>
      </c>
      <c r="AG131" s="65">
        <f t="shared" si="40"/>
        <v>0.10200000000000001</v>
      </c>
      <c r="AH131" s="65">
        <f t="shared" si="77"/>
        <v>6.8000000000000005E-2</v>
      </c>
      <c r="AI131" s="66">
        <f t="shared" si="50"/>
        <v>1.27</v>
      </c>
      <c r="AJ131" s="66"/>
      <c r="AK131" s="66"/>
      <c r="AL131" s="65">
        <f t="shared" si="73"/>
        <v>3.4999999999999996E-3</v>
      </c>
      <c r="AM131" s="65">
        <f>IF(Simulation!$D$42="Oui",Barèmes!$AO131,0)</f>
        <v>2.0999999999999999E-3</v>
      </c>
      <c r="AN131" s="65">
        <f>IF(Simulation!$D$42="Oui",Barèmes!$AP131,0)</f>
        <v>1.3999999999999998E-3</v>
      </c>
      <c r="AO131" s="678">
        <f t="shared" si="51"/>
        <v>2.0999999999999999E-3</v>
      </c>
      <c r="AP131" s="678">
        <f t="shared" si="52"/>
        <v>1.3999999999999998E-3</v>
      </c>
      <c r="AQ131" s="65">
        <f t="shared" si="71"/>
        <v>2.1499999999999998E-2</v>
      </c>
      <c r="AR131" s="65">
        <f>IF(Simulation!$D$42="Oui",Barèmes!$AT131,0)</f>
        <v>1.29E-2</v>
      </c>
      <c r="AS131" s="65">
        <f>IF(Simulation!$D$42="Oui",Barèmes!$AU131,0)</f>
        <v>8.6E-3</v>
      </c>
      <c r="AT131" s="678">
        <f t="shared" si="53"/>
        <v>1.29E-2</v>
      </c>
      <c r="AU131" s="678">
        <f t="shared" si="54"/>
        <v>8.6E-3</v>
      </c>
      <c r="AV131" s="65">
        <f t="shared" si="74"/>
        <v>2.7000000000000003E-2</v>
      </c>
      <c r="AW131" s="65">
        <f>IF(Simulation!$D$42="Oui",Barèmes!$AY131,0)</f>
        <v>1.6200000000000003E-2</v>
      </c>
      <c r="AX131" s="65">
        <f>IF(Simulation!$D$42="Oui",Barèmes!$AZ131,0)</f>
        <v>1.0800000000000001E-2</v>
      </c>
      <c r="AY131" s="678">
        <f t="shared" si="55"/>
        <v>1.6200000000000003E-2</v>
      </c>
      <c r="AZ131" s="678">
        <f t="shared" si="56"/>
        <v>1.0800000000000001E-2</v>
      </c>
      <c r="BA131" s="70">
        <f t="shared" si="70"/>
        <v>62.509561509529945</v>
      </c>
      <c r="BB131" s="70"/>
      <c r="BC131" s="70"/>
      <c r="BD131" s="70">
        <f t="shared" si="70"/>
        <v>4.0654722030419075</v>
      </c>
      <c r="BE131" s="70"/>
      <c r="BF131" s="70"/>
      <c r="BG131" s="71">
        <f t="shared" si="30"/>
        <v>4.0018865055018678</v>
      </c>
      <c r="BH131" s="71"/>
      <c r="BI131" s="71"/>
      <c r="BJ131" s="18">
        <f t="shared" si="62"/>
        <v>6695.84614847393</v>
      </c>
      <c r="BL131" s="15">
        <v>2083</v>
      </c>
      <c r="BM131" s="22">
        <f>BM130*IF(Simulation!$D$35="SMPT",1+$E131,IF(Simulation!$D$35="PRIX",1+$B131))</f>
        <v>33235.208748597215</v>
      </c>
      <c r="BN131" s="23">
        <f>BN130*IF(Simulation!$D$35="SMPT",1+$E131,IF(Simulation!$D$35="PRIX",1+$B131))</f>
        <v>43449.32532228074</v>
      </c>
      <c r="BO131" s="23">
        <f>BO130*IF(Simulation!$D$35="SMPT",1+$E131,IF(Simulation!$D$35="PRIX",1+$B131))</f>
        <v>67431.814664711637</v>
      </c>
      <c r="BP131" s="5"/>
      <c r="BQ131" s="146">
        <v>0</v>
      </c>
      <c r="BR131" s="146">
        <v>4.2999999999999997E-2</v>
      </c>
      <c r="BS131" s="146">
        <v>7.3999999999999996E-2</v>
      </c>
      <c r="BT131" s="146">
        <v>9.0999999999999998E-2</v>
      </c>
      <c r="BV131" s="15">
        <v>2083</v>
      </c>
      <c r="BW131" s="22">
        <f>BW130*IF(Simulation!$D$35="SMPT",1+$E131,IF(Simulation!$D$35="PRIX",1+$B131))</f>
        <v>50983.183125916119</v>
      </c>
      <c r="BX131" s="23">
        <f>BX130*IF(Simulation!$D$35="SMPT",1+$E131,IF(Simulation!$D$35="PRIX",1+$B131))</f>
        <v>66651.043631697641</v>
      </c>
      <c r="BY131" s="23">
        <f>BY130*IF(Simulation!$D$35="SMPT",1+$E131,IF(Simulation!$D$35="PRIX",1+$B131))</f>
        <v>103434.68192585866</v>
      </c>
      <c r="BZ131" s="5"/>
      <c r="CA131" s="146">
        <v>0</v>
      </c>
      <c r="CB131" s="146">
        <f t="shared" si="41"/>
        <v>4.2999999999999997E-2</v>
      </c>
      <c r="CC131" s="146">
        <f t="shared" si="42"/>
        <v>7.3999999999999996E-2</v>
      </c>
      <c r="CD131" s="146">
        <f t="shared" si="43"/>
        <v>9.0999999999999998E-2</v>
      </c>
      <c r="CE131" s="146">
        <f t="shared" si="43"/>
        <v>3.2000000000000001E-2</v>
      </c>
      <c r="CG131" s="15">
        <v>2083</v>
      </c>
      <c r="CH131" s="317">
        <f t="shared" si="57"/>
        <v>9.1999999999999998E-2</v>
      </c>
      <c r="CI131" s="311">
        <f t="shared" si="25"/>
        <v>6.8000000000000005E-2</v>
      </c>
      <c r="CJ131" s="311">
        <f t="shared" si="26"/>
        <v>5.0000000000000001E-3</v>
      </c>
      <c r="CK131" s="311">
        <f t="shared" si="26"/>
        <v>0.98250000000000004</v>
      </c>
      <c r="CL131" s="313">
        <f t="shared" si="27"/>
        <v>0</v>
      </c>
      <c r="CM131" s="313">
        <v>0</v>
      </c>
      <c r="CN131" s="313">
        <v>0</v>
      </c>
      <c r="CO131" s="318">
        <f t="shared" si="28"/>
        <v>2.4000000000000001E-4</v>
      </c>
    </row>
    <row r="132" spans="1:93" x14ac:dyDescent="0.25">
      <c r="A132" s="15">
        <v>2084</v>
      </c>
      <c r="B132" s="55">
        <f t="shared" si="63"/>
        <v>1.7500000000000002E-2</v>
      </c>
      <c r="C132" s="61">
        <f t="shared" si="59"/>
        <v>2.9320553246075831</v>
      </c>
      <c r="D132" s="21">
        <f t="shared" si="64"/>
        <v>252330.14716336178</v>
      </c>
      <c r="E132" s="57">
        <f t="shared" si="65"/>
        <v>3.0727500000000019E-2</v>
      </c>
      <c r="F132" s="21">
        <f t="shared" si="66"/>
        <v>112177.20534881261</v>
      </c>
      <c r="G132" s="153">
        <f t="shared" si="29"/>
        <v>6.8700439056070621</v>
      </c>
      <c r="H132" s="357">
        <f t="shared" si="78"/>
        <v>3.0727499999999797E-2</v>
      </c>
      <c r="I132" s="15">
        <v>2084</v>
      </c>
      <c r="J132" s="13">
        <f t="shared" si="60"/>
        <v>128179.21554146409</v>
      </c>
      <c r="K132" s="65">
        <f t="shared" si="44"/>
        <v>0.17749999999999999</v>
      </c>
      <c r="L132" s="65">
        <f t="shared" si="79"/>
        <v>0.10450000000000001</v>
      </c>
      <c r="M132" s="65">
        <f t="shared" si="75"/>
        <v>7.2999999999999982E-2</v>
      </c>
      <c r="N132" s="65">
        <f t="shared" si="72"/>
        <v>2.3000000000000003E-2</v>
      </c>
      <c r="O132" s="65">
        <f>IF(Simulation!$D$43="Oui",$Q132,0)</f>
        <v>1.9000000000000003E-2</v>
      </c>
      <c r="P132" s="65">
        <f>IF(Simulation!$D$43="Oui",$R132,0)</f>
        <v>4.0000000000000001E-3</v>
      </c>
      <c r="Q132" s="678">
        <f t="shared" ref="Q132:R132" si="81">Q131</f>
        <v>1.9000000000000003E-2</v>
      </c>
      <c r="R132" s="678">
        <f t="shared" si="81"/>
        <v>4.0000000000000001E-3</v>
      </c>
      <c r="S132" s="21">
        <f t="shared" si="67"/>
        <v>9245.046164094656</v>
      </c>
      <c r="T132" s="74">
        <f t="shared" si="68"/>
        <v>1.7500000000000002E-2</v>
      </c>
      <c r="U132" s="74">
        <f t="shared" si="68"/>
        <v>1.7500000000000002E-2</v>
      </c>
      <c r="V132" s="75">
        <f t="shared" si="61"/>
        <v>268316.51498350041</v>
      </c>
      <c r="W132" s="78">
        <f t="shared" si="69"/>
        <v>123515.27409948318</v>
      </c>
      <c r="X132" s="78">
        <f>IF(Simulation!$D$32="SMPT",(1+$E132)*X131,X131*(1+$U132))</f>
        <v>22701.914455328373</v>
      </c>
      <c r="Y132" s="78">
        <f>IF(Simulation!$D$32="SMPT",(1+$E132)*Y131,Y131*(1+$U132))</f>
        <v>24806.97964708932</v>
      </c>
      <c r="Z132" s="78">
        <f t="shared" si="45"/>
        <v>42321.816052282586</v>
      </c>
      <c r="AA132" s="58"/>
      <c r="AB132" s="15">
        <v>2084</v>
      </c>
      <c r="AC132" s="64">
        <f t="shared" si="46"/>
        <v>6.2E-2</v>
      </c>
      <c r="AD132" s="65">
        <f t="shared" si="39"/>
        <v>3.7200000000000004E-2</v>
      </c>
      <c r="AE132" s="65">
        <f t="shared" si="76"/>
        <v>2.4799999999999996E-2</v>
      </c>
      <c r="AF132" s="65">
        <f t="shared" si="48"/>
        <v>0.17</v>
      </c>
      <c r="AG132" s="65">
        <f t="shared" si="40"/>
        <v>0.10200000000000001</v>
      </c>
      <c r="AH132" s="65">
        <f t="shared" si="77"/>
        <v>6.8000000000000005E-2</v>
      </c>
      <c r="AI132" s="66">
        <f t="shared" si="50"/>
        <v>1.27</v>
      </c>
      <c r="AJ132" s="66"/>
      <c r="AK132" s="66"/>
      <c r="AL132" s="65">
        <f t="shared" si="73"/>
        <v>3.4999999999999996E-3</v>
      </c>
      <c r="AM132" s="65">
        <f>IF(Simulation!$D$42="Oui",Barèmes!$AO132,0)</f>
        <v>2.0999999999999999E-3</v>
      </c>
      <c r="AN132" s="65">
        <f>IF(Simulation!$D$42="Oui",Barèmes!$AP132,0)</f>
        <v>1.3999999999999998E-3</v>
      </c>
      <c r="AO132" s="678">
        <f t="shared" si="51"/>
        <v>2.0999999999999999E-3</v>
      </c>
      <c r="AP132" s="678">
        <f t="shared" si="52"/>
        <v>1.3999999999999998E-3</v>
      </c>
      <c r="AQ132" s="65">
        <f t="shared" si="71"/>
        <v>2.1499999999999998E-2</v>
      </c>
      <c r="AR132" s="65">
        <f>IF(Simulation!$D$42="Oui",Barèmes!$AT132,0)</f>
        <v>1.29E-2</v>
      </c>
      <c r="AS132" s="65">
        <f>IF(Simulation!$D$42="Oui",Barèmes!$AU132,0)</f>
        <v>8.6E-3</v>
      </c>
      <c r="AT132" s="678">
        <f t="shared" si="53"/>
        <v>1.29E-2</v>
      </c>
      <c r="AU132" s="678">
        <f t="shared" si="54"/>
        <v>8.6E-3</v>
      </c>
      <c r="AV132" s="65">
        <f t="shared" si="74"/>
        <v>2.7000000000000003E-2</v>
      </c>
      <c r="AW132" s="65">
        <f>IF(Simulation!$D$42="Oui",Barèmes!$AY132,0)</f>
        <v>1.6200000000000003E-2</v>
      </c>
      <c r="AX132" s="65">
        <f>IF(Simulation!$D$42="Oui",Barèmes!$AZ132,0)</f>
        <v>1.0800000000000001E-2</v>
      </c>
      <c r="AY132" s="678">
        <f t="shared" si="55"/>
        <v>1.6200000000000003E-2</v>
      </c>
      <c r="AZ132" s="678">
        <f t="shared" si="56"/>
        <v>1.0800000000000001E-2</v>
      </c>
      <c r="BA132" s="70">
        <f t="shared" si="70"/>
        <v>63.705213147303475</v>
      </c>
      <c r="BB132" s="70"/>
      <c r="BC132" s="70"/>
      <c r="BD132" s="70">
        <f t="shared" si="70"/>
        <v>4.1432345226055913</v>
      </c>
      <c r="BE132" s="70"/>
      <c r="BF132" s="70"/>
      <c r="BG132" s="71">
        <f t="shared" si="30"/>
        <v>4.0784325896358551</v>
      </c>
      <c r="BH132" s="71"/>
      <c r="BI132" s="71"/>
      <c r="BJ132" s="18">
        <f t="shared" si="62"/>
        <v>6823.9209456788649</v>
      </c>
      <c r="BL132" s="15">
        <v>2084</v>
      </c>
      <c r="BM132" s="22">
        <f>BM131*IF(Simulation!$D$35="SMPT",1+$E132,IF(Simulation!$D$35="PRIX",1+$B132))</f>
        <v>33816.82490169767</v>
      </c>
      <c r="BN132" s="23">
        <f>BN131*IF(Simulation!$D$35="SMPT",1+$E132,IF(Simulation!$D$35="PRIX",1+$B132))</f>
        <v>44209.688515420654</v>
      </c>
      <c r="BO132" s="23">
        <f>BO131*IF(Simulation!$D$35="SMPT",1+$E132,IF(Simulation!$D$35="PRIX",1+$B132))</f>
        <v>68611.871421344098</v>
      </c>
      <c r="BP132" s="5"/>
      <c r="BQ132" s="146">
        <v>0</v>
      </c>
      <c r="BR132" s="146">
        <v>4.2999999999999997E-2</v>
      </c>
      <c r="BS132" s="146">
        <v>7.3999999999999996E-2</v>
      </c>
      <c r="BT132" s="146">
        <v>9.0999999999999998E-2</v>
      </c>
      <c r="BV132" s="15">
        <v>2084</v>
      </c>
      <c r="BW132" s="22">
        <f>BW131*IF(Simulation!$D$35="SMPT",1+$E132,IF(Simulation!$D$35="PRIX",1+$B132))</f>
        <v>51875.388830619653</v>
      </c>
      <c r="BX132" s="23">
        <f>BX131*IF(Simulation!$D$35="SMPT",1+$E132,IF(Simulation!$D$35="PRIX",1+$B132))</f>
        <v>67817.436895252351</v>
      </c>
      <c r="BY132" s="23">
        <f>BY131*IF(Simulation!$D$35="SMPT",1+$E132,IF(Simulation!$D$35="PRIX",1+$B132))</f>
        <v>105244.7888595612</v>
      </c>
      <c r="BZ132" s="5"/>
      <c r="CA132" s="146">
        <v>0</v>
      </c>
      <c r="CB132" s="146">
        <f t="shared" si="41"/>
        <v>4.2999999999999997E-2</v>
      </c>
      <c r="CC132" s="146">
        <f t="shared" si="42"/>
        <v>7.3999999999999996E-2</v>
      </c>
      <c r="CD132" s="146">
        <f t="shared" si="43"/>
        <v>9.0999999999999998E-2</v>
      </c>
      <c r="CE132" s="146">
        <f t="shared" si="43"/>
        <v>3.2000000000000001E-2</v>
      </c>
      <c r="CG132" s="15">
        <v>2084</v>
      </c>
      <c r="CH132" s="317">
        <f t="shared" ref="CH132:CH147" si="82">CH131</f>
        <v>9.1999999999999998E-2</v>
      </c>
      <c r="CI132" s="311">
        <f t="shared" ref="CI132:CI147" si="83">CI131</f>
        <v>6.8000000000000005E-2</v>
      </c>
      <c r="CJ132" s="311">
        <f t="shared" ref="CJ132:CK147" si="84">CJ131</f>
        <v>5.0000000000000001E-3</v>
      </c>
      <c r="CK132" s="311">
        <f t="shared" si="84"/>
        <v>0.98250000000000004</v>
      </c>
      <c r="CL132" s="313">
        <f t="shared" ref="CL132:CL148" si="85">CL131</f>
        <v>0</v>
      </c>
      <c r="CM132" s="313">
        <v>0</v>
      </c>
      <c r="CN132" s="313">
        <v>0</v>
      </c>
      <c r="CO132" s="318">
        <f t="shared" ref="CO132:CO148" si="86">CO131</f>
        <v>2.4000000000000001E-4</v>
      </c>
    </row>
    <row r="133" spans="1:93" x14ac:dyDescent="0.25">
      <c r="A133" s="15">
        <v>2085</v>
      </c>
      <c r="B133" s="55">
        <f t="shared" si="63"/>
        <v>1.7500000000000002E-2</v>
      </c>
      <c r="C133" s="61">
        <f t="shared" si="59"/>
        <v>2.9833662927882161</v>
      </c>
      <c r="D133" s="21">
        <f t="shared" si="64"/>
        <v>260083.62176032399</v>
      </c>
      <c r="E133" s="57">
        <f t="shared" si="65"/>
        <v>3.0727500000000019E-2</v>
      </c>
      <c r="F133" s="21">
        <f t="shared" si="66"/>
        <v>115624.13042616827</v>
      </c>
      <c r="G133" s="153">
        <f t="shared" ref="G133:G148" si="87">D133/D$68</f>
        <v>7.0811431797166033</v>
      </c>
      <c r="H133" s="357">
        <f t="shared" si="78"/>
        <v>3.0727500000000241E-2</v>
      </c>
      <c r="I133" s="15">
        <v>2085</v>
      </c>
      <c r="J133" s="13">
        <f t="shared" si="60"/>
        <v>132117.84238701445</v>
      </c>
      <c r="K133" s="65">
        <f t="shared" si="44"/>
        <v>0.17749999999999999</v>
      </c>
      <c r="L133" s="65">
        <f t="shared" si="79"/>
        <v>0.10450000000000001</v>
      </c>
      <c r="M133" s="65">
        <f t="shared" si="75"/>
        <v>7.2999999999999982E-2</v>
      </c>
      <c r="N133" s="65">
        <f t="shared" si="72"/>
        <v>2.3000000000000003E-2</v>
      </c>
      <c r="O133" s="65">
        <f>IF(Simulation!$D$43="Oui",$Q133,0)</f>
        <v>1.9000000000000003E-2</v>
      </c>
      <c r="P133" s="65">
        <f>IF(Simulation!$D$43="Oui",$R133,0)</f>
        <v>4.0000000000000001E-3</v>
      </c>
      <c r="Q133" s="678">
        <f t="shared" ref="Q133:R133" si="88">Q132</f>
        <v>1.9000000000000003E-2</v>
      </c>
      <c r="R133" s="678">
        <f t="shared" si="88"/>
        <v>4.0000000000000001E-3</v>
      </c>
      <c r="S133" s="21">
        <f t="shared" si="67"/>
        <v>9529.1233201018749</v>
      </c>
      <c r="T133" s="74">
        <f t="shared" si="68"/>
        <v>1.7500000000000002E-2</v>
      </c>
      <c r="U133" s="74">
        <f t="shared" si="68"/>
        <v>1.7500000000000002E-2</v>
      </c>
      <c r="V133" s="75">
        <f t="shared" si="61"/>
        <v>276561.21069765597</v>
      </c>
      <c r="W133" s="78">
        <f t="shared" si="69"/>
        <v>127310.58968437507</v>
      </c>
      <c r="X133" s="78">
        <f>IF(Simulation!$D$32="SMPT",(1+$E133)*X132,X132*(1+$U133))</f>
        <v>23099.19795829662</v>
      </c>
      <c r="Y133" s="78">
        <f>IF(Simulation!$D$32="SMPT",(1+$E133)*Y132,Y132*(1+$U133))</f>
        <v>25241.101790913384</v>
      </c>
      <c r="Z133" s="78">
        <f t="shared" si="45"/>
        <v>43062.447833197533</v>
      </c>
      <c r="AA133" s="58"/>
      <c r="AB133" s="15">
        <v>2085</v>
      </c>
      <c r="AC133" s="64">
        <f t="shared" si="46"/>
        <v>6.2E-2</v>
      </c>
      <c r="AD133" s="65">
        <f t="shared" si="46"/>
        <v>3.7200000000000004E-2</v>
      </c>
      <c r="AE133" s="65">
        <f t="shared" si="76"/>
        <v>2.4799999999999996E-2</v>
      </c>
      <c r="AF133" s="65">
        <f t="shared" si="48"/>
        <v>0.17</v>
      </c>
      <c r="AG133" s="65">
        <f t="shared" si="48"/>
        <v>0.10200000000000001</v>
      </c>
      <c r="AH133" s="65">
        <f t="shared" si="77"/>
        <v>6.8000000000000005E-2</v>
      </c>
      <c r="AI133" s="66">
        <f t="shared" si="50"/>
        <v>1.27</v>
      </c>
      <c r="AJ133" s="66"/>
      <c r="AK133" s="66"/>
      <c r="AL133" s="65">
        <f t="shared" si="73"/>
        <v>3.4999999999999996E-3</v>
      </c>
      <c r="AM133" s="65">
        <f>IF(Simulation!$D$42="Oui",Barèmes!$AO133,0)</f>
        <v>2.0999999999999999E-3</v>
      </c>
      <c r="AN133" s="65">
        <f>IF(Simulation!$D$42="Oui",Barèmes!$AP133,0)</f>
        <v>1.3999999999999998E-3</v>
      </c>
      <c r="AO133" s="678">
        <f t="shared" si="51"/>
        <v>2.0999999999999999E-3</v>
      </c>
      <c r="AP133" s="678">
        <f t="shared" si="52"/>
        <v>1.3999999999999998E-3</v>
      </c>
      <c r="AQ133" s="65">
        <f t="shared" si="71"/>
        <v>2.1499999999999998E-2</v>
      </c>
      <c r="AR133" s="65">
        <f>IF(Simulation!$D$42="Oui",Barèmes!$AT133,0)</f>
        <v>1.29E-2</v>
      </c>
      <c r="AS133" s="65">
        <f>IF(Simulation!$D$42="Oui",Barèmes!$AU133,0)</f>
        <v>8.6E-3</v>
      </c>
      <c r="AT133" s="678">
        <f t="shared" si="53"/>
        <v>1.29E-2</v>
      </c>
      <c r="AU133" s="678">
        <f t="shared" si="54"/>
        <v>8.6E-3</v>
      </c>
      <c r="AV133" s="65">
        <f t="shared" si="74"/>
        <v>2.7000000000000003E-2</v>
      </c>
      <c r="AW133" s="65">
        <f>IF(Simulation!$D$42="Oui",Barèmes!$AY133,0)</f>
        <v>1.6200000000000003E-2</v>
      </c>
      <c r="AX133" s="65">
        <f>IF(Simulation!$D$42="Oui",Barèmes!$AZ133,0)</f>
        <v>1.0800000000000001E-2</v>
      </c>
      <c r="AY133" s="678">
        <f t="shared" si="55"/>
        <v>1.6200000000000003E-2</v>
      </c>
      <c r="AZ133" s="678">
        <f t="shared" si="56"/>
        <v>1.0800000000000001E-2</v>
      </c>
      <c r="BA133" s="70">
        <f t="shared" si="70"/>
        <v>64.923734611778514</v>
      </c>
      <c r="BB133" s="70"/>
      <c r="BC133" s="70"/>
      <c r="BD133" s="70">
        <f t="shared" si="70"/>
        <v>4.2224842409367298</v>
      </c>
      <c r="BE133" s="70"/>
      <c r="BF133" s="70"/>
      <c r="BG133" s="71">
        <f t="shared" ref="BG133:BG148" si="89">10/12*BD132+2/12*BD133</f>
        <v>4.1564428089941146</v>
      </c>
      <c r="BH133" s="71"/>
      <c r="BI133" s="71"/>
      <c r="BJ133" s="18">
        <f t="shared" si="62"/>
        <v>6954.4454935673375</v>
      </c>
      <c r="BL133" s="15">
        <v>2085</v>
      </c>
      <c r="BM133" s="22">
        <f>BM132*IF(Simulation!$D$35="SMPT",1+$E133,IF(Simulation!$D$35="PRIX",1+$B133))</f>
        <v>34408.619337477379</v>
      </c>
      <c r="BN133" s="23">
        <f>BN132*IF(Simulation!$D$35="SMPT",1+$E133,IF(Simulation!$D$35="PRIX",1+$B133))</f>
        <v>44983.358064440516</v>
      </c>
      <c r="BO133" s="23">
        <f>BO132*IF(Simulation!$D$35="SMPT",1+$E133,IF(Simulation!$D$35="PRIX",1+$B133))</f>
        <v>69812.579171217629</v>
      </c>
      <c r="BP133" s="5"/>
      <c r="BQ133" s="146">
        <v>0</v>
      </c>
      <c r="BR133" s="146">
        <v>4.2999999999999997E-2</v>
      </c>
      <c r="BS133" s="146">
        <v>7.3999999999999996E-2</v>
      </c>
      <c r="BT133" s="146">
        <v>9.0999999999999998E-2</v>
      </c>
      <c r="BV133" s="15">
        <v>2085</v>
      </c>
      <c r="BW133" s="22">
        <f>BW132*IF(Simulation!$D$35="SMPT",1+$E133,IF(Simulation!$D$35="PRIX",1+$B133))</f>
        <v>52783.208135155503</v>
      </c>
      <c r="BX133" s="23">
        <f>BX132*IF(Simulation!$D$35="SMPT",1+$E133,IF(Simulation!$D$35="PRIX",1+$B133))</f>
        <v>69004.242040919271</v>
      </c>
      <c r="BY133" s="23">
        <f>BY132*IF(Simulation!$D$35="SMPT",1+$E133,IF(Simulation!$D$35="PRIX",1+$B133))</f>
        <v>107086.57266460353</v>
      </c>
      <c r="BZ133" s="5"/>
      <c r="CA133" s="146">
        <v>0</v>
      </c>
      <c r="CB133" s="146">
        <f t="shared" si="41"/>
        <v>4.2999999999999997E-2</v>
      </c>
      <c r="CC133" s="146">
        <f t="shared" si="42"/>
        <v>7.3999999999999996E-2</v>
      </c>
      <c r="CD133" s="146">
        <f t="shared" si="43"/>
        <v>9.0999999999999998E-2</v>
      </c>
      <c r="CE133" s="146">
        <f t="shared" si="43"/>
        <v>3.2000000000000001E-2</v>
      </c>
      <c r="CG133" s="15">
        <v>2085</v>
      </c>
      <c r="CH133" s="317">
        <f t="shared" si="82"/>
        <v>9.1999999999999998E-2</v>
      </c>
      <c r="CI133" s="311">
        <f t="shared" si="83"/>
        <v>6.8000000000000005E-2</v>
      </c>
      <c r="CJ133" s="311">
        <f t="shared" si="84"/>
        <v>5.0000000000000001E-3</v>
      </c>
      <c r="CK133" s="311">
        <f t="shared" si="84"/>
        <v>0.98250000000000004</v>
      </c>
      <c r="CL133" s="313">
        <f t="shared" si="85"/>
        <v>0</v>
      </c>
      <c r="CM133" s="313">
        <v>0</v>
      </c>
      <c r="CN133" s="313">
        <v>0</v>
      </c>
      <c r="CO133" s="318">
        <f t="shared" si="86"/>
        <v>2.4000000000000001E-4</v>
      </c>
    </row>
    <row r="134" spans="1:93" x14ac:dyDescent="0.25">
      <c r="A134" s="15">
        <v>2086</v>
      </c>
      <c r="B134" s="55">
        <f t="shared" si="63"/>
        <v>1.7500000000000002E-2</v>
      </c>
      <c r="C134" s="61">
        <f t="shared" ref="C134:C148" si="90">C133*(1+B134)</f>
        <v>3.03557520291201</v>
      </c>
      <c r="D134" s="21">
        <f t="shared" si="64"/>
        <v>268075.34124796436</v>
      </c>
      <c r="E134" s="57">
        <f t="shared" si="65"/>
        <v>3.0727500000000019E-2</v>
      </c>
      <c r="F134" s="21">
        <f t="shared" si="66"/>
        <v>119176.97089383836</v>
      </c>
      <c r="G134" s="153">
        <f t="shared" si="87"/>
        <v>7.2987290067713451</v>
      </c>
      <c r="H134" s="357">
        <f t="shared" si="78"/>
        <v>3.0727499999999797E-2</v>
      </c>
      <c r="I134" s="15">
        <v>2086</v>
      </c>
      <c r="J134" s="13">
        <f t="shared" ref="J134:J148" si="91">J133*F134/F133</f>
        <v>136177.49338896142</v>
      </c>
      <c r="K134" s="65">
        <f t="shared" si="44"/>
        <v>0.17749999999999999</v>
      </c>
      <c r="L134" s="65">
        <f t="shared" si="79"/>
        <v>0.10450000000000001</v>
      </c>
      <c r="M134" s="65">
        <f t="shared" si="75"/>
        <v>7.2999999999999982E-2</v>
      </c>
      <c r="N134" s="65">
        <f t="shared" si="72"/>
        <v>2.3000000000000003E-2</v>
      </c>
      <c r="O134" s="65">
        <f>IF(Simulation!$D$43="Oui",$Q134,0)</f>
        <v>1.9000000000000003E-2</v>
      </c>
      <c r="P134" s="65">
        <f>IF(Simulation!$D$43="Oui",$R134,0)</f>
        <v>4.0000000000000001E-3</v>
      </c>
      <c r="Q134" s="678">
        <f t="shared" ref="Q134:R134" si="92">Q133</f>
        <v>1.9000000000000003E-2</v>
      </c>
      <c r="R134" s="678">
        <f t="shared" si="92"/>
        <v>4.0000000000000001E-3</v>
      </c>
      <c r="S134" s="21">
        <f t="shared" si="67"/>
        <v>9821.9294569203048</v>
      </c>
      <c r="T134" s="74">
        <f t="shared" si="68"/>
        <v>1.7500000000000002E-2</v>
      </c>
      <c r="U134" s="74">
        <f t="shared" si="68"/>
        <v>1.7500000000000002E-2</v>
      </c>
      <c r="V134" s="75">
        <f t="shared" ref="V134:V148" si="93">V133*D134/D133</f>
        <v>285059.24529936817</v>
      </c>
      <c r="W134" s="78">
        <f t="shared" si="69"/>
        <v>131222.52582890171</v>
      </c>
      <c r="X134" s="78">
        <f>IF(Simulation!$D$32="SMPT",(1+$E134)*X133,X133*(1+$U134))</f>
        <v>23503.433922566812</v>
      </c>
      <c r="Y134" s="78">
        <f>IF(Simulation!$D$32="SMPT",(1+$E134)*Y133,Y133*(1+$U134))</f>
        <v>25682.82107225437</v>
      </c>
      <c r="Z134" s="78">
        <f t="shared" si="45"/>
        <v>43816.040670278489</v>
      </c>
      <c r="AA134" s="58"/>
      <c r="AB134" s="15">
        <v>2086</v>
      </c>
      <c r="AC134" s="64">
        <f t="shared" si="46"/>
        <v>6.2E-2</v>
      </c>
      <c r="AD134" s="65">
        <f t="shared" si="46"/>
        <v>3.7200000000000004E-2</v>
      </c>
      <c r="AE134" s="65">
        <f t="shared" si="76"/>
        <v>2.4799999999999996E-2</v>
      </c>
      <c r="AF134" s="65">
        <f t="shared" si="48"/>
        <v>0.17</v>
      </c>
      <c r="AG134" s="65">
        <f t="shared" si="48"/>
        <v>0.10200000000000001</v>
      </c>
      <c r="AH134" s="65">
        <f t="shared" si="77"/>
        <v>6.8000000000000005E-2</v>
      </c>
      <c r="AI134" s="66">
        <f t="shared" si="50"/>
        <v>1.27</v>
      </c>
      <c r="AJ134" s="66"/>
      <c r="AK134" s="66"/>
      <c r="AL134" s="65">
        <f t="shared" si="73"/>
        <v>3.4999999999999996E-3</v>
      </c>
      <c r="AM134" s="65">
        <f>IF(Simulation!$D$42="Oui",Barèmes!$AO134,0)</f>
        <v>2.0999999999999999E-3</v>
      </c>
      <c r="AN134" s="65">
        <f>IF(Simulation!$D$42="Oui",Barèmes!$AP134,0)</f>
        <v>1.3999999999999998E-3</v>
      </c>
      <c r="AO134" s="678">
        <f t="shared" si="51"/>
        <v>2.0999999999999999E-3</v>
      </c>
      <c r="AP134" s="678">
        <f t="shared" si="52"/>
        <v>1.3999999999999998E-3</v>
      </c>
      <c r="AQ134" s="65">
        <f t="shared" si="71"/>
        <v>2.1499999999999998E-2</v>
      </c>
      <c r="AR134" s="65">
        <f>IF(Simulation!$D$42="Oui",Barèmes!$AT134,0)</f>
        <v>1.29E-2</v>
      </c>
      <c r="AS134" s="65">
        <f>IF(Simulation!$D$42="Oui",Barèmes!$AU134,0)</f>
        <v>8.6E-3</v>
      </c>
      <c r="AT134" s="678">
        <f t="shared" si="53"/>
        <v>1.29E-2</v>
      </c>
      <c r="AU134" s="678">
        <f t="shared" si="54"/>
        <v>8.6E-3</v>
      </c>
      <c r="AV134" s="65">
        <f t="shared" si="74"/>
        <v>2.7000000000000003E-2</v>
      </c>
      <c r="AW134" s="65">
        <f>IF(Simulation!$D$42="Oui",Barèmes!$AY134,0)</f>
        <v>1.6200000000000003E-2</v>
      </c>
      <c r="AX134" s="65">
        <f>IF(Simulation!$D$42="Oui",Barèmes!$AZ134,0)</f>
        <v>1.0800000000000001E-2</v>
      </c>
      <c r="AY134" s="678">
        <f t="shared" si="55"/>
        <v>1.6200000000000003E-2</v>
      </c>
      <c r="AZ134" s="678">
        <f t="shared" si="56"/>
        <v>1.0800000000000001E-2</v>
      </c>
      <c r="BA134" s="70">
        <f t="shared" si="70"/>
        <v>66.165563345565303</v>
      </c>
      <c r="BB134" s="70"/>
      <c r="BC134" s="70"/>
      <c r="BD134" s="70">
        <f t="shared" si="70"/>
        <v>4.3032498082552468</v>
      </c>
      <c r="BE134" s="70"/>
      <c r="BF134" s="70"/>
      <c r="BG134" s="71">
        <f t="shared" si="89"/>
        <v>4.2359451688231493</v>
      </c>
      <c r="BH134" s="71"/>
      <c r="BI134" s="71"/>
      <c r="BJ134" s="18">
        <f t="shared" si="62"/>
        <v>7087.4666497455464</v>
      </c>
      <c r="BL134" s="15">
        <v>2086</v>
      </c>
      <c r="BM134" s="22">
        <f>BM133*IF(Simulation!$D$35="SMPT",1+$E134,IF(Simulation!$D$35="PRIX",1+$B134))</f>
        <v>35010.770175883234</v>
      </c>
      <c r="BN134" s="23">
        <f>BN133*IF(Simulation!$D$35="SMPT",1+$E134,IF(Simulation!$D$35="PRIX",1+$B134))</f>
        <v>45770.566830568227</v>
      </c>
      <c r="BO134" s="23">
        <f>BO133*IF(Simulation!$D$35="SMPT",1+$E134,IF(Simulation!$D$35="PRIX",1+$B134))</f>
        <v>71034.299306713947</v>
      </c>
      <c r="BP134" s="5"/>
      <c r="BQ134" s="146">
        <v>0</v>
      </c>
      <c r="BR134" s="146">
        <v>4.2999999999999997E-2</v>
      </c>
      <c r="BS134" s="146">
        <v>7.3999999999999996E-2</v>
      </c>
      <c r="BT134" s="146">
        <v>9.0999999999999998E-2</v>
      </c>
      <c r="BV134" s="15">
        <v>2086</v>
      </c>
      <c r="BW134" s="22">
        <f>BW133*IF(Simulation!$D$35="SMPT",1+$E134,IF(Simulation!$D$35="PRIX",1+$B134))</f>
        <v>53706.914277520729</v>
      </c>
      <c r="BX134" s="23">
        <f>BX133*IF(Simulation!$D$35="SMPT",1+$E134,IF(Simulation!$D$35="PRIX",1+$B134))</f>
        <v>70211.816276635363</v>
      </c>
      <c r="BY134" s="23">
        <f>BY133*IF(Simulation!$D$35="SMPT",1+$E134,IF(Simulation!$D$35="PRIX",1+$B134))</f>
        <v>108960.5876862341</v>
      </c>
      <c r="BZ134" s="5"/>
      <c r="CA134" s="146">
        <v>0</v>
      </c>
      <c r="CB134" s="146">
        <f t="shared" ref="CB134:CB148" si="94">CB133</f>
        <v>4.2999999999999997E-2</v>
      </c>
      <c r="CC134" s="146">
        <f t="shared" ref="CC134:CC148" si="95">CC133</f>
        <v>7.3999999999999996E-2</v>
      </c>
      <c r="CD134" s="146">
        <f t="shared" ref="CD134:CE148" si="96">CD133</f>
        <v>9.0999999999999998E-2</v>
      </c>
      <c r="CE134" s="146">
        <f t="shared" si="96"/>
        <v>3.2000000000000001E-2</v>
      </c>
      <c r="CG134" s="15">
        <v>2086</v>
      </c>
      <c r="CH134" s="317">
        <f t="shared" si="82"/>
        <v>9.1999999999999998E-2</v>
      </c>
      <c r="CI134" s="311">
        <f t="shared" si="83"/>
        <v>6.8000000000000005E-2</v>
      </c>
      <c r="CJ134" s="311">
        <f t="shared" si="84"/>
        <v>5.0000000000000001E-3</v>
      </c>
      <c r="CK134" s="311">
        <f t="shared" si="84"/>
        <v>0.98250000000000004</v>
      </c>
      <c r="CL134" s="313">
        <f t="shared" si="85"/>
        <v>0</v>
      </c>
      <c r="CM134" s="313">
        <v>0</v>
      </c>
      <c r="CN134" s="313">
        <v>0</v>
      </c>
      <c r="CO134" s="318">
        <f t="shared" si="86"/>
        <v>2.4000000000000001E-4</v>
      </c>
    </row>
    <row r="135" spans="1:93" x14ac:dyDescent="0.25">
      <c r="A135" s="15">
        <v>2087</v>
      </c>
      <c r="B135" s="55">
        <f t="shared" si="63"/>
        <v>1.7500000000000002E-2</v>
      </c>
      <c r="C135" s="61">
        <f t="shared" si="90"/>
        <v>3.0886977689629704</v>
      </c>
      <c r="D135" s="21">
        <f t="shared" si="64"/>
        <v>276312.62629616121</v>
      </c>
      <c r="E135" s="57">
        <f t="shared" si="65"/>
        <v>3.0727500000000019E-2</v>
      </c>
      <c r="F135" s="21">
        <f t="shared" si="66"/>
        <v>122838.98126697879</v>
      </c>
      <c r="G135" s="153">
        <f t="shared" si="87"/>
        <v>7.5230007023269128</v>
      </c>
      <c r="H135" s="357">
        <f t="shared" si="78"/>
        <v>3.0727500000000019E-2</v>
      </c>
      <c r="I135" s="15">
        <v>2087</v>
      </c>
      <c r="J135" s="13">
        <f t="shared" si="91"/>
        <v>140361.88731707077</v>
      </c>
      <c r="K135" s="65">
        <f t="shared" ref="K135:K148" si="97">K134</f>
        <v>0.17749999999999999</v>
      </c>
      <c r="L135" s="65">
        <f t="shared" ref="L135:L148" si="98">L134</f>
        <v>0.10450000000000001</v>
      </c>
      <c r="M135" s="65">
        <f t="shared" si="75"/>
        <v>7.2999999999999982E-2</v>
      </c>
      <c r="N135" s="65">
        <f t="shared" si="72"/>
        <v>2.3000000000000003E-2</v>
      </c>
      <c r="O135" s="65">
        <f>IF(Simulation!$D$43="Oui",$Q135,0)</f>
        <v>1.9000000000000003E-2</v>
      </c>
      <c r="P135" s="65">
        <f>IF(Simulation!$D$43="Oui",$R135,0)</f>
        <v>4.0000000000000001E-3</v>
      </c>
      <c r="Q135" s="678">
        <f t="shared" ref="Q135:R135" si="99">Q134</f>
        <v>1.9000000000000003E-2</v>
      </c>
      <c r="R135" s="678">
        <f t="shared" si="99"/>
        <v>4.0000000000000001E-3</v>
      </c>
      <c r="S135" s="21">
        <f t="shared" si="67"/>
        <v>10123.732794307823</v>
      </c>
      <c r="T135" s="74">
        <f t="shared" si="68"/>
        <v>1.7500000000000002E-2</v>
      </c>
      <c r="U135" s="74">
        <f t="shared" si="68"/>
        <v>1.7500000000000002E-2</v>
      </c>
      <c r="V135" s="75">
        <f t="shared" si="93"/>
        <v>293818.40325930453</v>
      </c>
      <c r="W135" s="78">
        <f t="shared" si="69"/>
        <v>135254.66599130927</v>
      </c>
      <c r="X135" s="78">
        <f>IF(Simulation!$D$32="SMPT",(1+$E135)*X134,X134*(1+$U135))</f>
        <v>23914.744016211731</v>
      </c>
      <c r="Y135" s="78">
        <f>IF(Simulation!$D$32="SMPT",(1+$E135)*Y134,Y134*(1+$U135))</f>
        <v>26132.270441018823</v>
      </c>
      <c r="Z135" s="78">
        <f t="shared" ref="Z135:Z148" si="100">Z134*Y135/Y134</f>
        <v>44582.821382008369</v>
      </c>
      <c r="AA135" s="58"/>
      <c r="AB135" s="15">
        <v>2087</v>
      </c>
      <c r="AC135" s="64">
        <f t="shared" ref="AC135:AD148" si="101">AC134</f>
        <v>6.2E-2</v>
      </c>
      <c r="AD135" s="65">
        <f t="shared" si="101"/>
        <v>3.7200000000000004E-2</v>
      </c>
      <c r="AE135" s="65">
        <f t="shared" si="76"/>
        <v>2.4799999999999996E-2</v>
      </c>
      <c r="AF135" s="65">
        <f t="shared" ref="AF135:AG148" si="102">AF134</f>
        <v>0.17</v>
      </c>
      <c r="AG135" s="65">
        <f t="shared" si="102"/>
        <v>0.10200000000000001</v>
      </c>
      <c r="AH135" s="65">
        <f t="shared" si="77"/>
        <v>6.8000000000000005E-2</v>
      </c>
      <c r="AI135" s="66">
        <f t="shared" ref="AI135:AI148" si="103">AI134</f>
        <v>1.27</v>
      </c>
      <c r="AJ135" s="66"/>
      <c r="AK135" s="66"/>
      <c r="AL135" s="65">
        <f t="shared" si="73"/>
        <v>3.4999999999999996E-3</v>
      </c>
      <c r="AM135" s="65">
        <f>IF(Simulation!$D$42="Oui",Barèmes!$AO135,0)</f>
        <v>2.0999999999999999E-3</v>
      </c>
      <c r="AN135" s="65">
        <f>IF(Simulation!$D$42="Oui",Barèmes!$AP135,0)</f>
        <v>1.3999999999999998E-3</v>
      </c>
      <c r="AO135" s="678">
        <f t="shared" ref="AO135:AO148" si="104">AO134</f>
        <v>2.0999999999999999E-3</v>
      </c>
      <c r="AP135" s="678">
        <f t="shared" ref="AP135:AP148" si="105">AP134</f>
        <v>1.3999999999999998E-3</v>
      </c>
      <c r="AQ135" s="65">
        <f t="shared" si="71"/>
        <v>2.1499999999999998E-2</v>
      </c>
      <c r="AR135" s="65">
        <f>IF(Simulation!$D$42="Oui",Barèmes!$AT135,0)</f>
        <v>1.29E-2</v>
      </c>
      <c r="AS135" s="65">
        <f>IF(Simulation!$D$42="Oui",Barèmes!$AU135,0)</f>
        <v>8.6E-3</v>
      </c>
      <c r="AT135" s="678">
        <f t="shared" ref="AT135:AT148" si="106">AT134</f>
        <v>1.29E-2</v>
      </c>
      <c r="AU135" s="678">
        <f t="shared" ref="AU135:AU148" si="107">AU134</f>
        <v>8.6E-3</v>
      </c>
      <c r="AV135" s="65">
        <f t="shared" si="74"/>
        <v>2.7000000000000003E-2</v>
      </c>
      <c r="AW135" s="65">
        <f>IF(Simulation!$D$42="Oui",Barèmes!$AY135,0)</f>
        <v>1.6200000000000003E-2</v>
      </c>
      <c r="AX135" s="65">
        <f>IF(Simulation!$D$42="Oui",Barèmes!$AZ135,0)</f>
        <v>1.0800000000000001E-2</v>
      </c>
      <c r="AY135" s="678">
        <f t="shared" ref="AY135:AY148" si="108">AY134</f>
        <v>1.6200000000000003E-2</v>
      </c>
      <c r="AZ135" s="678">
        <f t="shared" ref="AZ135:AZ148" si="109">AZ134</f>
        <v>1.0800000000000001E-2</v>
      </c>
      <c r="BA135" s="70">
        <f t="shared" si="70"/>
        <v>67.431145158457596</v>
      </c>
      <c r="BB135" s="70"/>
      <c r="BC135" s="70"/>
      <c r="BD135" s="70">
        <f t="shared" si="70"/>
        <v>4.3855602189626488</v>
      </c>
      <c r="BE135" s="70"/>
      <c r="BF135" s="70"/>
      <c r="BG135" s="71">
        <f t="shared" si="89"/>
        <v>4.3169682100398141</v>
      </c>
      <c r="BH135" s="71"/>
      <c r="BI135" s="71"/>
      <c r="BJ135" s="18">
        <f t="shared" si="62"/>
        <v>7223.0321680885536</v>
      </c>
      <c r="BL135" s="15">
        <v>2087</v>
      </c>
      <c r="BM135" s="22">
        <f>BM134*IF(Simulation!$D$35="SMPT",1+$E135,IF(Simulation!$D$35="PRIX",1+$B135))</f>
        <v>35623.458653961192</v>
      </c>
      <c r="BN135" s="23">
        <f>BN134*IF(Simulation!$D$35="SMPT",1+$E135,IF(Simulation!$D$35="PRIX",1+$B135))</f>
        <v>46571.551750103172</v>
      </c>
      <c r="BO135" s="23">
        <f>BO134*IF(Simulation!$D$35="SMPT",1+$E135,IF(Simulation!$D$35="PRIX",1+$B135))</f>
        <v>72277.399544581451</v>
      </c>
      <c r="BP135" s="5"/>
      <c r="BQ135" s="146">
        <v>0</v>
      </c>
      <c r="BR135" s="146">
        <v>4.2999999999999997E-2</v>
      </c>
      <c r="BS135" s="146">
        <v>7.3999999999999996E-2</v>
      </c>
      <c r="BT135" s="146">
        <v>9.0999999999999998E-2</v>
      </c>
      <c r="BV135" s="15">
        <v>2087</v>
      </c>
      <c r="BW135" s="22">
        <f>BW134*IF(Simulation!$D$35="SMPT",1+$E135,IF(Simulation!$D$35="PRIX",1+$B135))</f>
        <v>54646.785277377348</v>
      </c>
      <c r="BX135" s="23">
        <f>BX134*IF(Simulation!$D$35="SMPT",1+$E135,IF(Simulation!$D$35="PRIX",1+$B135))</f>
        <v>71440.523061476488</v>
      </c>
      <c r="BY135" s="23">
        <f>BY134*IF(Simulation!$D$35="SMPT",1+$E135,IF(Simulation!$D$35="PRIX",1+$B135))</f>
        <v>110867.3979707432</v>
      </c>
      <c r="BZ135" s="5"/>
      <c r="CA135" s="146">
        <v>0</v>
      </c>
      <c r="CB135" s="146">
        <f t="shared" si="94"/>
        <v>4.2999999999999997E-2</v>
      </c>
      <c r="CC135" s="146">
        <f t="shared" si="95"/>
        <v>7.3999999999999996E-2</v>
      </c>
      <c r="CD135" s="146">
        <f t="shared" si="96"/>
        <v>9.0999999999999998E-2</v>
      </c>
      <c r="CE135" s="146">
        <f t="shared" si="96"/>
        <v>3.2000000000000001E-2</v>
      </c>
      <c r="CG135" s="15">
        <v>2087</v>
      </c>
      <c r="CH135" s="317">
        <f t="shared" si="82"/>
        <v>9.1999999999999998E-2</v>
      </c>
      <c r="CI135" s="311">
        <f t="shared" si="83"/>
        <v>6.8000000000000005E-2</v>
      </c>
      <c r="CJ135" s="311">
        <f t="shared" si="84"/>
        <v>5.0000000000000001E-3</v>
      </c>
      <c r="CK135" s="311">
        <f t="shared" si="84"/>
        <v>0.98250000000000004</v>
      </c>
      <c r="CL135" s="313">
        <f t="shared" si="85"/>
        <v>0</v>
      </c>
      <c r="CM135" s="313">
        <v>0</v>
      </c>
      <c r="CN135" s="313">
        <v>0</v>
      </c>
      <c r="CO135" s="318">
        <f t="shared" si="86"/>
        <v>2.4000000000000001E-4</v>
      </c>
    </row>
    <row r="136" spans="1:93" x14ac:dyDescent="0.25">
      <c r="A136" s="15">
        <v>2088</v>
      </c>
      <c r="B136" s="55">
        <f t="shared" si="63"/>
        <v>1.7500000000000002E-2</v>
      </c>
      <c r="C136" s="61">
        <f t="shared" si="90"/>
        <v>3.1427499799198229</v>
      </c>
      <c r="D136" s="21">
        <f t="shared" si="64"/>
        <v>284803.02252067649</v>
      </c>
      <c r="E136" s="57">
        <f t="shared" si="65"/>
        <v>3.0727500000000019E-2</v>
      </c>
      <c r="F136" s="21">
        <f t="shared" si="66"/>
        <v>126613.51606385988</v>
      </c>
      <c r="G136" s="153">
        <f t="shared" si="87"/>
        <v>7.7541637064076623</v>
      </c>
      <c r="H136" s="357">
        <f t="shared" si="78"/>
        <v>3.0727500000000019E-2</v>
      </c>
      <c r="I136" s="15">
        <v>2088</v>
      </c>
      <c r="J136" s="13">
        <f t="shared" si="91"/>
        <v>144674.85720960604</v>
      </c>
      <c r="K136" s="65">
        <f t="shared" si="97"/>
        <v>0.17749999999999999</v>
      </c>
      <c r="L136" s="65">
        <f t="shared" si="98"/>
        <v>0.10450000000000001</v>
      </c>
      <c r="M136" s="65">
        <f t="shared" si="75"/>
        <v>7.2999999999999982E-2</v>
      </c>
      <c r="N136" s="65">
        <f t="shared" si="72"/>
        <v>2.3000000000000003E-2</v>
      </c>
      <c r="O136" s="65">
        <f>IF(Simulation!$D$43="Oui",$Q136,0)</f>
        <v>1.9000000000000003E-2</v>
      </c>
      <c r="P136" s="65">
        <f>IF(Simulation!$D$43="Oui",$R136,0)</f>
        <v>4.0000000000000001E-3</v>
      </c>
      <c r="Q136" s="678">
        <f t="shared" ref="Q136:R136" si="110">Q135</f>
        <v>1.9000000000000003E-2</v>
      </c>
      <c r="R136" s="678">
        <f t="shared" si="110"/>
        <v>4.0000000000000001E-3</v>
      </c>
      <c r="S136" s="21">
        <f t="shared" si="67"/>
        <v>10434.809793744917</v>
      </c>
      <c r="T136" s="74">
        <f t="shared" si="68"/>
        <v>1.7500000000000002E-2</v>
      </c>
      <c r="U136" s="74">
        <f t="shared" si="68"/>
        <v>1.7500000000000002E-2</v>
      </c>
      <c r="V136" s="75">
        <f t="shared" si="93"/>
        <v>302846.70824545482</v>
      </c>
      <c r="W136" s="78">
        <f t="shared" si="69"/>
        <v>139410.70374055722</v>
      </c>
      <c r="X136" s="78">
        <f>IF(Simulation!$D$32="SMPT",(1+$E136)*X135,X135*(1+$U136))</f>
        <v>24333.252036495436</v>
      </c>
      <c r="Y136" s="78">
        <f>IF(Simulation!$D$32="SMPT",(1+$E136)*Y135,Y135*(1+$U136))</f>
        <v>26589.585173736654</v>
      </c>
      <c r="Z136" s="78">
        <f t="shared" si="100"/>
        <v>45363.020756193517</v>
      </c>
      <c r="AA136" s="58"/>
      <c r="AB136" s="15">
        <v>2088</v>
      </c>
      <c r="AC136" s="64">
        <f t="shared" si="101"/>
        <v>6.2E-2</v>
      </c>
      <c r="AD136" s="65">
        <f t="shared" si="101"/>
        <v>3.7200000000000004E-2</v>
      </c>
      <c r="AE136" s="65">
        <f t="shared" si="76"/>
        <v>2.4799999999999996E-2</v>
      </c>
      <c r="AF136" s="65">
        <f t="shared" si="102"/>
        <v>0.17</v>
      </c>
      <c r="AG136" s="65">
        <f t="shared" si="102"/>
        <v>0.10200000000000001</v>
      </c>
      <c r="AH136" s="65">
        <f t="shared" si="77"/>
        <v>6.8000000000000005E-2</v>
      </c>
      <c r="AI136" s="66">
        <f t="shared" si="103"/>
        <v>1.27</v>
      </c>
      <c r="AJ136" s="66"/>
      <c r="AK136" s="66"/>
      <c r="AL136" s="65">
        <f t="shared" si="73"/>
        <v>3.4999999999999996E-3</v>
      </c>
      <c r="AM136" s="65">
        <f>IF(Simulation!$D$42="Oui",Barèmes!$AO136,0)</f>
        <v>2.0999999999999999E-3</v>
      </c>
      <c r="AN136" s="65">
        <f>IF(Simulation!$D$42="Oui",Barèmes!$AP136,0)</f>
        <v>1.3999999999999998E-3</v>
      </c>
      <c r="AO136" s="678">
        <f t="shared" si="104"/>
        <v>2.0999999999999999E-3</v>
      </c>
      <c r="AP136" s="678">
        <f t="shared" si="105"/>
        <v>1.3999999999999998E-3</v>
      </c>
      <c r="AQ136" s="65">
        <f t="shared" si="71"/>
        <v>2.1499999999999998E-2</v>
      </c>
      <c r="AR136" s="65">
        <f>IF(Simulation!$D$42="Oui",Barèmes!$AT136,0)</f>
        <v>1.29E-2</v>
      </c>
      <c r="AS136" s="65">
        <f>IF(Simulation!$D$42="Oui",Barèmes!$AU136,0)</f>
        <v>8.6E-3</v>
      </c>
      <c r="AT136" s="678">
        <f t="shared" si="106"/>
        <v>1.29E-2</v>
      </c>
      <c r="AU136" s="678">
        <f t="shared" si="107"/>
        <v>8.6E-3</v>
      </c>
      <c r="AV136" s="65">
        <f t="shared" si="74"/>
        <v>2.7000000000000003E-2</v>
      </c>
      <c r="AW136" s="65">
        <f>IF(Simulation!$D$42="Oui",Barèmes!$AY136,0)</f>
        <v>1.6200000000000003E-2</v>
      </c>
      <c r="AX136" s="65">
        <f>IF(Simulation!$D$42="Oui",Barèmes!$AZ136,0)</f>
        <v>1.0800000000000001E-2</v>
      </c>
      <c r="AY136" s="678">
        <f t="shared" si="108"/>
        <v>1.6200000000000003E-2</v>
      </c>
      <c r="AZ136" s="678">
        <f t="shared" si="109"/>
        <v>1.0800000000000001E-2</v>
      </c>
      <c r="BA136" s="70">
        <f t="shared" si="70"/>
        <v>68.720934387475992</v>
      </c>
      <c r="BB136" s="70"/>
      <c r="BC136" s="70"/>
      <c r="BD136" s="70">
        <f t="shared" si="70"/>
        <v>4.4694450220508566</v>
      </c>
      <c r="BE136" s="70"/>
      <c r="BF136" s="70"/>
      <c r="BG136" s="71">
        <f t="shared" si="89"/>
        <v>4.3995410194773505</v>
      </c>
      <c r="BH136" s="71"/>
      <c r="BI136" s="71"/>
      <c r="BJ136" s="18">
        <f t="shared" si="62"/>
        <v>7361.1907158836666</v>
      </c>
      <c r="BL136" s="15">
        <v>2088</v>
      </c>
      <c r="BM136" s="22">
        <f>BM135*IF(Simulation!$D$35="SMPT",1+$E136,IF(Simulation!$D$35="PRIX",1+$B136))</f>
        <v>36246.869180405512</v>
      </c>
      <c r="BN136" s="23">
        <f>BN135*IF(Simulation!$D$35="SMPT",1+$E136,IF(Simulation!$D$35="PRIX",1+$B136))</f>
        <v>47386.553905729983</v>
      </c>
      <c r="BO136" s="23">
        <f>BO135*IF(Simulation!$D$35="SMPT",1+$E136,IF(Simulation!$D$35="PRIX",1+$B136))</f>
        <v>73542.25403661163</v>
      </c>
      <c r="BP136" s="5"/>
      <c r="BQ136" s="146">
        <v>0</v>
      </c>
      <c r="BR136" s="146">
        <v>4.2999999999999997E-2</v>
      </c>
      <c r="BS136" s="146">
        <v>7.3999999999999996E-2</v>
      </c>
      <c r="BT136" s="146">
        <v>9.0999999999999998E-2</v>
      </c>
      <c r="BV136" s="15">
        <v>2088</v>
      </c>
      <c r="BW136" s="22">
        <f>BW135*IF(Simulation!$D$35="SMPT",1+$E136,IF(Simulation!$D$35="PRIX",1+$B136))</f>
        <v>55603.104019731458</v>
      </c>
      <c r="BX136" s="23">
        <f>BX135*IF(Simulation!$D$35="SMPT",1+$E136,IF(Simulation!$D$35="PRIX",1+$B136))</f>
        <v>72690.732215052325</v>
      </c>
      <c r="BY136" s="23">
        <f>BY135*IF(Simulation!$D$35="SMPT",1+$E136,IF(Simulation!$D$35="PRIX",1+$B136))</f>
        <v>112807.57743523121</v>
      </c>
      <c r="BZ136" s="5"/>
      <c r="CA136" s="146">
        <v>0</v>
      </c>
      <c r="CB136" s="146">
        <f t="shared" si="94"/>
        <v>4.2999999999999997E-2</v>
      </c>
      <c r="CC136" s="146">
        <f t="shared" si="95"/>
        <v>7.3999999999999996E-2</v>
      </c>
      <c r="CD136" s="146">
        <f t="shared" si="96"/>
        <v>9.0999999999999998E-2</v>
      </c>
      <c r="CE136" s="146">
        <f t="shared" si="96"/>
        <v>3.2000000000000001E-2</v>
      </c>
      <c r="CG136" s="15">
        <v>2088</v>
      </c>
      <c r="CH136" s="317">
        <f t="shared" si="82"/>
        <v>9.1999999999999998E-2</v>
      </c>
      <c r="CI136" s="311">
        <f t="shared" si="83"/>
        <v>6.8000000000000005E-2</v>
      </c>
      <c r="CJ136" s="311">
        <f t="shared" si="84"/>
        <v>5.0000000000000001E-3</v>
      </c>
      <c r="CK136" s="311">
        <f t="shared" si="84"/>
        <v>0.98250000000000004</v>
      </c>
      <c r="CL136" s="313">
        <f t="shared" si="85"/>
        <v>0</v>
      </c>
      <c r="CM136" s="313">
        <v>0</v>
      </c>
      <c r="CN136" s="313">
        <v>0</v>
      </c>
      <c r="CO136" s="318">
        <f t="shared" si="86"/>
        <v>2.4000000000000001E-4</v>
      </c>
    </row>
    <row r="137" spans="1:93" x14ac:dyDescent="0.25">
      <c r="A137" s="15">
        <v>2089</v>
      </c>
      <c r="B137" s="55">
        <f t="shared" si="63"/>
        <v>1.7500000000000002E-2</v>
      </c>
      <c r="C137" s="61">
        <f t="shared" si="90"/>
        <v>3.19774810456842</v>
      </c>
      <c r="D137" s="21">
        <f t="shared" si="64"/>
        <v>293554.30739518057</v>
      </c>
      <c r="E137" s="57">
        <f t="shared" si="65"/>
        <v>3.0727500000000019E-2</v>
      </c>
      <c r="F137" s="21">
        <f t="shared" si="66"/>
        <v>130504.03287871214</v>
      </c>
      <c r="G137" s="153">
        <f t="shared" si="87"/>
        <v>7.9924297716963038</v>
      </c>
      <c r="H137" s="357">
        <f t="shared" si="78"/>
        <v>3.0727500000000019E-2</v>
      </c>
      <c r="I137" s="15">
        <v>2089</v>
      </c>
      <c r="J137" s="13">
        <f t="shared" si="91"/>
        <v>149120.35388451422</v>
      </c>
      <c r="K137" s="65">
        <f t="shared" si="97"/>
        <v>0.17749999999999999</v>
      </c>
      <c r="L137" s="65">
        <f t="shared" si="98"/>
        <v>0.10450000000000001</v>
      </c>
      <c r="M137" s="65">
        <f t="shared" si="75"/>
        <v>7.2999999999999982E-2</v>
      </c>
      <c r="N137" s="65">
        <f t="shared" si="72"/>
        <v>2.3000000000000003E-2</v>
      </c>
      <c r="O137" s="65">
        <f>IF(Simulation!$D$43="Oui",$Q137,0)</f>
        <v>1.9000000000000003E-2</v>
      </c>
      <c r="P137" s="65">
        <f>IF(Simulation!$D$43="Oui",$R137,0)</f>
        <v>4.0000000000000001E-3</v>
      </c>
      <c r="Q137" s="678">
        <f t="shared" ref="Q137:R137" si="111">Q136</f>
        <v>1.9000000000000003E-2</v>
      </c>
      <c r="R137" s="678">
        <f t="shared" si="111"/>
        <v>4.0000000000000001E-3</v>
      </c>
      <c r="S137" s="21">
        <f t="shared" si="67"/>
        <v>10755.445411682214</v>
      </c>
      <c r="T137" s="74">
        <f t="shared" si="68"/>
        <v>1.7500000000000002E-2</v>
      </c>
      <c r="U137" s="74">
        <f t="shared" si="68"/>
        <v>1.7500000000000002E-2</v>
      </c>
      <c r="V137" s="75">
        <f t="shared" si="93"/>
        <v>312152.43047306704</v>
      </c>
      <c r="W137" s="78">
        <f t="shared" si="69"/>
        <v>143694.44613974521</v>
      </c>
      <c r="X137" s="78">
        <f>IF(Simulation!$D$32="SMPT",(1+$E137)*X136,X136*(1+$U137))</f>
        <v>24759.08394713411</v>
      </c>
      <c r="Y137" s="78">
        <f>IF(Simulation!$D$32="SMPT",(1+$E137)*Y136,Y136*(1+$U137))</f>
        <v>27054.902914277049</v>
      </c>
      <c r="Z137" s="78">
        <f t="shared" si="100"/>
        <v>46156.873619426908</v>
      </c>
      <c r="AA137" s="58"/>
      <c r="AB137" s="15">
        <v>2089</v>
      </c>
      <c r="AC137" s="64">
        <f t="shared" si="101"/>
        <v>6.2E-2</v>
      </c>
      <c r="AD137" s="65">
        <f t="shared" si="101"/>
        <v>3.7200000000000004E-2</v>
      </c>
      <c r="AE137" s="65">
        <f t="shared" si="76"/>
        <v>2.4799999999999996E-2</v>
      </c>
      <c r="AF137" s="65">
        <f t="shared" si="102"/>
        <v>0.17</v>
      </c>
      <c r="AG137" s="65">
        <f t="shared" si="102"/>
        <v>0.10200000000000001</v>
      </c>
      <c r="AH137" s="65">
        <f t="shared" si="77"/>
        <v>6.8000000000000005E-2</v>
      </c>
      <c r="AI137" s="66">
        <f t="shared" si="103"/>
        <v>1.27</v>
      </c>
      <c r="AJ137" s="66"/>
      <c r="AK137" s="66"/>
      <c r="AL137" s="65">
        <f t="shared" si="73"/>
        <v>3.4999999999999996E-3</v>
      </c>
      <c r="AM137" s="65">
        <f>IF(Simulation!$D$42="Oui",Barèmes!$AO137,0)</f>
        <v>2.0999999999999999E-3</v>
      </c>
      <c r="AN137" s="65">
        <f>IF(Simulation!$D$42="Oui",Barèmes!$AP137,0)</f>
        <v>1.3999999999999998E-3</v>
      </c>
      <c r="AO137" s="678">
        <f t="shared" si="104"/>
        <v>2.0999999999999999E-3</v>
      </c>
      <c r="AP137" s="678">
        <f t="shared" si="105"/>
        <v>1.3999999999999998E-3</v>
      </c>
      <c r="AQ137" s="65">
        <f t="shared" si="71"/>
        <v>2.1499999999999998E-2</v>
      </c>
      <c r="AR137" s="65">
        <f>IF(Simulation!$D$42="Oui",Barèmes!$AT137,0)</f>
        <v>1.29E-2</v>
      </c>
      <c r="AS137" s="65">
        <f>IF(Simulation!$D$42="Oui",Barèmes!$AU137,0)</f>
        <v>8.6E-3</v>
      </c>
      <c r="AT137" s="678">
        <f t="shared" si="106"/>
        <v>1.29E-2</v>
      </c>
      <c r="AU137" s="678">
        <f t="shared" si="107"/>
        <v>8.6E-3</v>
      </c>
      <c r="AV137" s="65">
        <f t="shared" si="74"/>
        <v>2.7000000000000003E-2</v>
      </c>
      <c r="AW137" s="65">
        <f>IF(Simulation!$D$42="Oui",Barèmes!$AY137,0)</f>
        <v>1.6200000000000003E-2</v>
      </c>
      <c r="AX137" s="65">
        <f>IF(Simulation!$D$42="Oui",Barèmes!$AZ137,0)</f>
        <v>1.0800000000000001E-2</v>
      </c>
      <c r="AY137" s="678">
        <f t="shared" si="108"/>
        <v>1.6200000000000003E-2</v>
      </c>
      <c r="AZ137" s="678">
        <f t="shared" si="109"/>
        <v>1.0800000000000001E-2</v>
      </c>
      <c r="BA137" s="70">
        <f t="shared" si="70"/>
        <v>70.035394059972433</v>
      </c>
      <c r="BB137" s="70"/>
      <c r="BC137" s="70"/>
      <c r="BD137" s="70">
        <f t="shared" si="70"/>
        <v>4.5549343317101343</v>
      </c>
      <c r="BE137" s="70"/>
      <c r="BF137" s="70"/>
      <c r="BG137" s="71">
        <f t="shared" si="89"/>
        <v>4.483693240327403</v>
      </c>
      <c r="BH137" s="71"/>
      <c r="BI137" s="71"/>
      <c r="BJ137" s="18">
        <f t="shared" si="62"/>
        <v>7501.9918913017318</v>
      </c>
      <c r="BL137" s="15">
        <v>2089</v>
      </c>
      <c r="BM137" s="22">
        <f>BM136*IF(Simulation!$D$35="SMPT",1+$E137,IF(Simulation!$D$35="PRIX",1+$B137))</f>
        <v>36881.18939106261</v>
      </c>
      <c r="BN137" s="23">
        <f>BN136*IF(Simulation!$D$35="SMPT",1+$E137,IF(Simulation!$D$35="PRIX",1+$B137))</f>
        <v>48215.818599080259</v>
      </c>
      <c r="BO137" s="23">
        <f>BO136*IF(Simulation!$D$35="SMPT",1+$E137,IF(Simulation!$D$35="PRIX",1+$B137))</f>
        <v>74829.243482252336</v>
      </c>
      <c r="BP137" s="5"/>
      <c r="BQ137" s="146">
        <v>0</v>
      </c>
      <c r="BR137" s="146">
        <v>4.2999999999999997E-2</v>
      </c>
      <c r="BS137" s="146">
        <v>7.3999999999999996E-2</v>
      </c>
      <c r="BT137" s="146">
        <v>9.0999999999999998E-2</v>
      </c>
      <c r="BV137" s="15">
        <v>2089</v>
      </c>
      <c r="BW137" s="22">
        <f>BW136*IF(Simulation!$D$35="SMPT",1+$E137,IF(Simulation!$D$35="PRIX",1+$B137))</f>
        <v>56576.158340076763</v>
      </c>
      <c r="BX137" s="23">
        <f>BX136*IF(Simulation!$D$35="SMPT",1+$E137,IF(Simulation!$D$35="PRIX",1+$B137))</f>
        <v>73962.820028815739</v>
      </c>
      <c r="BY137" s="23">
        <f>BY136*IF(Simulation!$D$35="SMPT",1+$E137,IF(Simulation!$D$35="PRIX",1+$B137))</f>
        <v>114781.71004034777</v>
      </c>
      <c r="BZ137" s="5"/>
      <c r="CA137" s="146">
        <v>0</v>
      </c>
      <c r="CB137" s="146">
        <f t="shared" si="94"/>
        <v>4.2999999999999997E-2</v>
      </c>
      <c r="CC137" s="146">
        <f t="shared" si="95"/>
        <v>7.3999999999999996E-2</v>
      </c>
      <c r="CD137" s="146">
        <f t="shared" si="96"/>
        <v>9.0999999999999998E-2</v>
      </c>
      <c r="CE137" s="146">
        <f t="shared" si="96"/>
        <v>3.2000000000000001E-2</v>
      </c>
      <c r="CG137" s="15">
        <v>2089</v>
      </c>
      <c r="CH137" s="317">
        <f t="shared" si="82"/>
        <v>9.1999999999999998E-2</v>
      </c>
      <c r="CI137" s="311">
        <f t="shared" si="83"/>
        <v>6.8000000000000005E-2</v>
      </c>
      <c r="CJ137" s="311">
        <f t="shared" si="84"/>
        <v>5.0000000000000001E-3</v>
      </c>
      <c r="CK137" s="311">
        <f t="shared" si="84"/>
        <v>0.98250000000000004</v>
      </c>
      <c r="CL137" s="313">
        <f t="shared" si="85"/>
        <v>0</v>
      </c>
      <c r="CM137" s="313">
        <v>0</v>
      </c>
      <c r="CN137" s="313">
        <v>0</v>
      </c>
      <c r="CO137" s="318">
        <f t="shared" si="86"/>
        <v>2.4000000000000001E-4</v>
      </c>
    </row>
    <row r="138" spans="1:93" x14ac:dyDescent="0.25">
      <c r="A138" s="15">
        <v>2090</v>
      </c>
      <c r="B138" s="55">
        <f t="shared" si="63"/>
        <v>1.7500000000000002E-2</v>
      </c>
      <c r="C138" s="61">
        <f t="shared" si="90"/>
        <v>3.2537086963983675</v>
      </c>
      <c r="D138" s="21">
        <f t="shared" si="64"/>
        <v>302574.49737566599</v>
      </c>
      <c r="E138" s="57">
        <f t="shared" si="65"/>
        <v>3.0727500000000019E-2</v>
      </c>
      <c r="F138" s="21">
        <f t="shared" si="66"/>
        <v>134514.09554899277</v>
      </c>
      <c r="G138" s="153">
        <f t="shared" si="87"/>
        <v>8.2380171575061016</v>
      </c>
      <c r="H138" s="357">
        <f t="shared" si="78"/>
        <v>3.0727500000000241E-2</v>
      </c>
      <c r="I138" s="15">
        <v>2090</v>
      </c>
      <c r="J138" s="13">
        <f t="shared" si="91"/>
        <v>153702.44955850064</v>
      </c>
      <c r="K138" s="65">
        <f t="shared" si="97"/>
        <v>0.17749999999999999</v>
      </c>
      <c r="L138" s="65">
        <f t="shared" si="98"/>
        <v>0.10450000000000001</v>
      </c>
      <c r="M138" s="65">
        <f t="shared" si="75"/>
        <v>7.2999999999999982E-2</v>
      </c>
      <c r="N138" s="65">
        <f t="shared" si="72"/>
        <v>2.3000000000000003E-2</v>
      </c>
      <c r="O138" s="65">
        <f>IF(Simulation!$D$43="Oui",$Q138,0)</f>
        <v>1.9000000000000003E-2</v>
      </c>
      <c r="P138" s="65">
        <f>IF(Simulation!$D$43="Oui",$R138,0)</f>
        <v>4.0000000000000001E-3</v>
      </c>
      <c r="Q138" s="678">
        <f t="shared" ref="Q138:R138" si="112">Q137</f>
        <v>1.9000000000000003E-2</v>
      </c>
      <c r="R138" s="678">
        <f t="shared" si="112"/>
        <v>4.0000000000000001E-3</v>
      </c>
      <c r="S138" s="21">
        <f t="shared" si="67"/>
        <v>11085.933360569679</v>
      </c>
      <c r="T138" s="74">
        <f t="shared" si="68"/>
        <v>1.7500000000000002E-2</v>
      </c>
      <c r="U138" s="74">
        <f t="shared" si="68"/>
        <v>1.7500000000000002E-2</v>
      </c>
      <c r="V138" s="75">
        <f t="shared" si="93"/>
        <v>321744.09428042825</v>
      </c>
      <c r="W138" s="78">
        <f t="shared" si="69"/>
        <v>148109.81723350423</v>
      </c>
      <c r="X138" s="78">
        <f>IF(Simulation!$D$32="SMPT",(1+$E138)*X137,X137*(1+$U138))</f>
        <v>25192.367916208957</v>
      </c>
      <c r="Y138" s="78">
        <f>IF(Simulation!$D$32="SMPT",(1+$E138)*Y137,Y137*(1+$U138))</f>
        <v>27528.363715276901</v>
      </c>
      <c r="Z138" s="78">
        <f t="shared" si="100"/>
        <v>46964.618907766882</v>
      </c>
      <c r="AA138" s="58"/>
      <c r="AB138" s="15">
        <v>2090</v>
      </c>
      <c r="AC138" s="64">
        <f t="shared" si="101"/>
        <v>6.2E-2</v>
      </c>
      <c r="AD138" s="65">
        <f t="shared" si="101"/>
        <v>3.7200000000000004E-2</v>
      </c>
      <c r="AE138" s="65">
        <f t="shared" si="76"/>
        <v>2.4799999999999996E-2</v>
      </c>
      <c r="AF138" s="65">
        <f t="shared" si="102"/>
        <v>0.17</v>
      </c>
      <c r="AG138" s="65">
        <f t="shared" si="102"/>
        <v>0.10200000000000001</v>
      </c>
      <c r="AH138" s="65">
        <f t="shared" si="77"/>
        <v>6.8000000000000005E-2</v>
      </c>
      <c r="AI138" s="66">
        <f t="shared" si="103"/>
        <v>1.27</v>
      </c>
      <c r="AJ138" s="66"/>
      <c r="AK138" s="66"/>
      <c r="AL138" s="65">
        <f t="shared" si="73"/>
        <v>3.4999999999999996E-3</v>
      </c>
      <c r="AM138" s="65">
        <f>IF(Simulation!$D$42="Oui",Barèmes!$AO138,0)</f>
        <v>2.0999999999999999E-3</v>
      </c>
      <c r="AN138" s="65">
        <f>IF(Simulation!$D$42="Oui",Barèmes!$AP138,0)</f>
        <v>1.3999999999999998E-3</v>
      </c>
      <c r="AO138" s="678">
        <f t="shared" si="104"/>
        <v>2.0999999999999999E-3</v>
      </c>
      <c r="AP138" s="678">
        <f t="shared" si="105"/>
        <v>1.3999999999999998E-3</v>
      </c>
      <c r="AQ138" s="65">
        <f t="shared" si="71"/>
        <v>2.1499999999999998E-2</v>
      </c>
      <c r="AR138" s="65">
        <f>IF(Simulation!$D$42="Oui",Barèmes!$AT138,0)</f>
        <v>1.29E-2</v>
      </c>
      <c r="AS138" s="65">
        <f>IF(Simulation!$D$42="Oui",Barèmes!$AU138,0)</f>
        <v>8.6E-3</v>
      </c>
      <c r="AT138" s="678">
        <f t="shared" si="106"/>
        <v>1.29E-2</v>
      </c>
      <c r="AU138" s="678">
        <f t="shared" si="107"/>
        <v>8.6E-3</v>
      </c>
      <c r="AV138" s="65">
        <f t="shared" si="74"/>
        <v>2.7000000000000003E-2</v>
      </c>
      <c r="AW138" s="65">
        <f>IF(Simulation!$D$42="Oui",Barèmes!$AY138,0)</f>
        <v>1.6200000000000003E-2</v>
      </c>
      <c r="AX138" s="65">
        <f>IF(Simulation!$D$42="Oui",Barèmes!$AZ138,0)</f>
        <v>1.0800000000000001E-2</v>
      </c>
      <c r="AY138" s="678">
        <f t="shared" si="108"/>
        <v>1.6200000000000003E-2</v>
      </c>
      <c r="AZ138" s="678">
        <f t="shared" si="109"/>
        <v>1.0800000000000001E-2</v>
      </c>
      <c r="BA138" s="70">
        <f t="shared" si="70"/>
        <v>71.374996059854553</v>
      </c>
      <c r="BB138" s="70"/>
      <c r="BC138" s="70"/>
      <c r="BD138" s="70">
        <f t="shared" si="70"/>
        <v>4.6420588381399197</v>
      </c>
      <c r="BE138" s="70"/>
      <c r="BF138" s="70"/>
      <c r="BG138" s="71">
        <f t="shared" si="89"/>
        <v>4.569455082781765</v>
      </c>
      <c r="BH138" s="71"/>
      <c r="BI138" s="71"/>
      <c r="BJ138" s="18">
        <f t="shared" si="62"/>
        <v>7645.486241202605</v>
      </c>
      <c r="BL138" s="15">
        <v>2090</v>
      </c>
      <c r="BM138" s="22">
        <f>BM137*IF(Simulation!$D$35="SMPT",1+$E138,IF(Simulation!$D$35="PRIX",1+$B138))</f>
        <v>37526.610205406207</v>
      </c>
      <c r="BN138" s="23">
        <f>BN137*IF(Simulation!$D$35="SMPT",1+$E138,IF(Simulation!$D$35="PRIX",1+$B138))</f>
        <v>49059.59542456417</v>
      </c>
      <c r="BO138" s="23">
        <f>BO137*IF(Simulation!$D$35="SMPT",1+$E138,IF(Simulation!$D$35="PRIX",1+$B138))</f>
        <v>76138.755243191757</v>
      </c>
      <c r="BP138" s="5"/>
      <c r="BQ138" s="146">
        <v>0</v>
      </c>
      <c r="BR138" s="146">
        <v>4.2999999999999997E-2</v>
      </c>
      <c r="BS138" s="146">
        <v>7.3999999999999996E-2</v>
      </c>
      <c r="BT138" s="146">
        <v>9.0999999999999998E-2</v>
      </c>
      <c r="BV138" s="15">
        <v>2090</v>
      </c>
      <c r="BW138" s="22">
        <f>BW137*IF(Simulation!$D$35="SMPT",1+$E138,IF(Simulation!$D$35="PRIX",1+$B138))</f>
        <v>57566.24111102811</v>
      </c>
      <c r="BX138" s="23">
        <f>BX137*IF(Simulation!$D$35="SMPT",1+$E138,IF(Simulation!$D$35="PRIX",1+$B138))</f>
        <v>75257.169379320025</v>
      </c>
      <c r="BY138" s="23">
        <f>BY137*IF(Simulation!$D$35="SMPT",1+$E138,IF(Simulation!$D$35="PRIX",1+$B138))</f>
        <v>116790.38996605386</v>
      </c>
      <c r="BZ138" s="5"/>
      <c r="CA138" s="146">
        <v>0</v>
      </c>
      <c r="CB138" s="146">
        <f t="shared" si="94"/>
        <v>4.2999999999999997E-2</v>
      </c>
      <c r="CC138" s="146">
        <f t="shared" si="95"/>
        <v>7.3999999999999996E-2</v>
      </c>
      <c r="CD138" s="146">
        <f t="shared" si="96"/>
        <v>9.0999999999999998E-2</v>
      </c>
      <c r="CE138" s="146">
        <f t="shared" si="96"/>
        <v>3.2000000000000001E-2</v>
      </c>
      <c r="CG138" s="15">
        <v>2090</v>
      </c>
      <c r="CH138" s="317">
        <f t="shared" si="82"/>
        <v>9.1999999999999998E-2</v>
      </c>
      <c r="CI138" s="311">
        <f t="shared" si="83"/>
        <v>6.8000000000000005E-2</v>
      </c>
      <c r="CJ138" s="311">
        <f t="shared" si="84"/>
        <v>5.0000000000000001E-3</v>
      </c>
      <c r="CK138" s="311">
        <f t="shared" si="84"/>
        <v>0.98250000000000004</v>
      </c>
      <c r="CL138" s="313">
        <f t="shared" si="85"/>
        <v>0</v>
      </c>
      <c r="CM138" s="313">
        <v>0</v>
      </c>
      <c r="CN138" s="313">
        <v>0</v>
      </c>
      <c r="CO138" s="318">
        <f t="shared" si="86"/>
        <v>2.4000000000000001E-4</v>
      </c>
    </row>
    <row r="139" spans="1:93" x14ac:dyDescent="0.25">
      <c r="A139" s="15">
        <v>2091</v>
      </c>
      <c r="B139" s="55">
        <f t="shared" si="63"/>
        <v>1.7500000000000002E-2</v>
      </c>
      <c r="C139" s="61">
        <f t="shared" si="90"/>
        <v>3.3106485985853391</v>
      </c>
      <c r="D139" s="21">
        <f t="shared" si="64"/>
        <v>311871.85524377675</v>
      </c>
      <c r="E139" s="57">
        <f t="shared" si="65"/>
        <v>3.0727500000000019E-2</v>
      </c>
      <c r="F139" s="21">
        <f t="shared" si="66"/>
        <v>138647.37741997445</v>
      </c>
      <c r="G139" s="153">
        <f t="shared" si="87"/>
        <v>8.4911508297133711</v>
      </c>
      <c r="H139" s="357">
        <f t="shared" si="78"/>
        <v>3.0727499999999797E-2</v>
      </c>
      <c r="I139" s="15">
        <v>2091</v>
      </c>
      <c r="J139" s="13">
        <f t="shared" si="91"/>
        <v>158425.34157730947</v>
      </c>
      <c r="K139" s="65">
        <f t="shared" si="97"/>
        <v>0.17749999999999999</v>
      </c>
      <c r="L139" s="65">
        <f t="shared" si="98"/>
        <v>0.10450000000000001</v>
      </c>
      <c r="M139" s="65">
        <f t="shared" si="75"/>
        <v>7.2999999999999982E-2</v>
      </c>
      <c r="N139" s="65">
        <f t="shared" si="72"/>
        <v>2.3000000000000003E-2</v>
      </c>
      <c r="O139" s="65">
        <f>IF(Simulation!$D$43="Oui",$Q139,0)</f>
        <v>1.9000000000000003E-2</v>
      </c>
      <c r="P139" s="65">
        <f>IF(Simulation!$D$43="Oui",$R139,0)</f>
        <v>4.0000000000000001E-3</v>
      </c>
      <c r="Q139" s="678">
        <f t="shared" ref="Q139:R139" si="113">Q138</f>
        <v>1.9000000000000003E-2</v>
      </c>
      <c r="R139" s="678">
        <f t="shared" si="113"/>
        <v>4.0000000000000001E-3</v>
      </c>
      <c r="S139" s="21">
        <f t="shared" si="67"/>
        <v>11426.576377906584</v>
      </c>
      <c r="T139" s="74">
        <f t="shared" si="68"/>
        <v>1.7500000000000002E-2</v>
      </c>
      <c r="U139" s="74">
        <f t="shared" si="68"/>
        <v>1.7500000000000002E-2</v>
      </c>
      <c r="V139" s="75">
        <f t="shared" si="93"/>
        <v>331630.48593743006</v>
      </c>
      <c r="W139" s="78">
        <f t="shared" si="69"/>
        <v>152660.86164254672</v>
      </c>
      <c r="X139" s="78">
        <f>IF(Simulation!$D$32="SMPT",(1+$E139)*X138,X138*(1+$U139))</f>
        <v>25633.234354742617</v>
      </c>
      <c r="Y139" s="78">
        <f>IF(Simulation!$D$32="SMPT",(1+$E139)*Y138,Y138*(1+$U139))</f>
        <v>28010.110080294249</v>
      </c>
      <c r="Z139" s="78">
        <f t="shared" si="100"/>
        <v>47786.499738652812</v>
      </c>
      <c r="AA139" s="58"/>
      <c r="AB139" s="15">
        <v>2091</v>
      </c>
      <c r="AC139" s="64">
        <f t="shared" si="101"/>
        <v>6.2E-2</v>
      </c>
      <c r="AD139" s="65">
        <f t="shared" si="101"/>
        <v>3.7200000000000004E-2</v>
      </c>
      <c r="AE139" s="65">
        <f t="shared" si="76"/>
        <v>2.4799999999999996E-2</v>
      </c>
      <c r="AF139" s="65">
        <f t="shared" si="102"/>
        <v>0.17</v>
      </c>
      <c r="AG139" s="65">
        <f t="shared" si="102"/>
        <v>0.10200000000000001</v>
      </c>
      <c r="AH139" s="65">
        <f t="shared" si="77"/>
        <v>6.8000000000000005E-2</v>
      </c>
      <c r="AI139" s="66">
        <f t="shared" si="103"/>
        <v>1.27</v>
      </c>
      <c r="AJ139" s="66"/>
      <c r="AK139" s="66"/>
      <c r="AL139" s="65">
        <f t="shared" si="73"/>
        <v>3.4999999999999996E-3</v>
      </c>
      <c r="AM139" s="65">
        <f>IF(Simulation!$D$42="Oui",Barèmes!$AO139,0)</f>
        <v>2.0999999999999999E-3</v>
      </c>
      <c r="AN139" s="65">
        <f>IF(Simulation!$D$42="Oui",Barèmes!$AP139,0)</f>
        <v>1.3999999999999998E-3</v>
      </c>
      <c r="AO139" s="678">
        <f t="shared" si="104"/>
        <v>2.0999999999999999E-3</v>
      </c>
      <c r="AP139" s="678">
        <f t="shared" si="105"/>
        <v>1.3999999999999998E-3</v>
      </c>
      <c r="AQ139" s="65">
        <f t="shared" si="71"/>
        <v>2.1499999999999998E-2</v>
      </c>
      <c r="AR139" s="65">
        <f>IF(Simulation!$D$42="Oui",Barèmes!$AT139,0)</f>
        <v>1.29E-2</v>
      </c>
      <c r="AS139" s="65">
        <f>IF(Simulation!$D$42="Oui",Barèmes!$AU139,0)</f>
        <v>8.6E-3</v>
      </c>
      <c r="AT139" s="678">
        <f t="shared" si="106"/>
        <v>1.29E-2</v>
      </c>
      <c r="AU139" s="678">
        <f t="shared" si="107"/>
        <v>8.6E-3</v>
      </c>
      <c r="AV139" s="65">
        <f t="shared" si="74"/>
        <v>2.7000000000000003E-2</v>
      </c>
      <c r="AW139" s="65">
        <f>IF(Simulation!$D$42="Oui",Barèmes!$AY139,0)</f>
        <v>1.6200000000000003E-2</v>
      </c>
      <c r="AX139" s="65">
        <f>IF(Simulation!$D$42="Oui",Barèmes!$AZ139,0)</f>
        <v>1.0800000000000001E-2</v>
      </c>
      <c r="AY139" s="678">
        <f t="shared" si="108"/>
        <v>1.6200000000000003E-2</v>
      </c>
      <c r="AZ139" s="678">
        <f t="shared" si="109"/>
        <v>1.0800000000000001E-2</v>
      </c>
      <c r="BA139" s="70">
        <f t="shared" si="70"/>
        <v>72.740221296989418</v>
      </c>
      <c r="BB139" s="70"/>
      <c r="BC139" s="70"/>
      <c r="BD139" s="70">
        <f t="shared" si="70"/>
        <v>4.7308498185664405</v>
      </c>
      <c r="BE139" s="70"/>
      <c r="BF139" s="70"/>
      <c r="BG139" s="71">
        <f t="shared" si="89"/>
        <v>4.6568573348776736</v>
      </c>
      <c r="BH139" s="71"/>
      <c r="BI139" s="71"/>
      <c r="BJ139" s="18">
        <f t="shared" si="62"/>
        <v>7791.7252792812069</v>
      </c>
      <c r="BL139" s="15">
        <v>2091</v>
      </c>
      <c r="BM139" s="22">
        <f>BM138*IF(Simulation!$D$35="SMPT",1+$E139,IF(Simulation!$D$35="PRIX",1+$B139))</f>
        <v>38183.32588400082</v>
      </c>
      <c r="BN139" s="23">
        <f>BN138*IF(Simulation!$D$35="SMPT",1+$E139,IF(Simulation!$D$35="PRIX",1+$B139))</f>
        <v>49918.138344494044</v>
      </c>
      <c r="BO139" s="23">
        <f>BO138*IF(Simulation!$D$35="SMPT",1+$E139,IF(Simulation!$D$35="PRIX",1+$B139))</f>
        <v>77471.183459947613</v>
      </c>
      <c r="BP139" s="5"/>
      <c r="BQ139" s="146">
        <v>0</v>
      </c>
      <c r="BR139" s="146">
        <v>4.2999999999999997E-2</v>
      </c>
      <c r="BS139" s="146">
        <v>7.3999999999999996E-2</v>
      </c>
      <c r="BT139" s="146">
        <v>9.0999999999999998E-2</v>
      </c>
      <c r="BV139" s="15">
        <v>2091</v>
      </c>
      <c r="BW139" s="22">
        <f>BW138*IF(Simulation!$D$35="SMPT",1+$E139,IF(Simulation!$D$35="PRIX",1+$B139))</f>
        <v>58573.650330471108</v>
      </c>
      <c r="BX139" s="23">
        <f>BX138*IF(Simulation!$D$35="SMPT",1+$E139,IF(Simulation!$D$35="PRIX",1+$B139))</f>
        <v>76574.169843458134</v>
      </c>
      <c r="BY139" s="23">
        <f>BY138*IF(Simulation!$D$35="SMPT",1+$E139,IF(Simulation!$D$35="PRIX",1+$B139))</f>
        <v>118834.22179045981</v>
      </c>
      <c r="BZ139" s="5"/>
      <c r="CA139" s="146">
        <v>0</v>
      </c>
      <c r="CB139" s="146">
        <f t="shared" si="94"/>
        <v>4.2999999999999997E-2</v>
      </c>
      <c r="CC139" s="146">
        <f t="shared" si="95"/>
        <v>7.3999999999999996E-2</v>
      </c>
      <c r="CD139" s="146">
        <f t="shared" si="96"/>
        <v>9.0999999999999998E-2</v>
      </c>
      <c r="CE139" s="146">
        <f t="shared" si="96"/>
        <v>3.2000000000000001E-2</v>
      </c>
      <c r="CG139" s="15">
        <v>2091</v>
      </c>
      <c r="CH139" s="317">
        <f t="shared" si="82"/>
        <v>9.1999999999999998E-2</v>
      </c>
      <c r="CI139" s="311">
        <f t="shared" si="83"/>
        <v>6.8000000000000005E-2</v>
      </c>
      <c r="CJ139" s="311">
        <f t="shared" si="84"/>
        <v>5.0000000000000001E-3</v>
      </c>
      <c r="CK139" s="311">
        <f t="shared" si="84"/>
        <v>0.98250000000000004</v>
      </c>
      <c r="CL139" s="313">
        <f t="shared" si="85"/>
        <v>0</v>
      </c>
      <c r="CM139" s="313">
        <v>0</v>
      </c>
      <c r="CN139" s="313">
        <v>0</v>
      </c>
      <c r="CO139" s="318">
        <f t="shared" si="86"/>
        <v>2.4000000000000001E-4</v>
      </c>
    </row>
    <row r="140" spans="1:93" x14ac:dyDescent="0.25">
      <c r="A140" s="15">
        <v>2092</v>
      </c>
      <c r="B140" s="55">
        <f t="shared" si="63"/>
        <v>1.7500000000000002E-2</v>
      </c>
      <c r="C140" s="61">
        <f t="shared" si="90"/>
        <v>3.3685849490605828</v>
      </c>
      <c r="D140" s="21">
        <f t="shared" si="64"/>
        <v>321454.89767577988</v>
      </c>
      <c r="E140" s="57">
        <f t="shared" si="65"/>
        <v>3.0727500000000019E-2</v>
      </c>
      <c r="F140" s="21">
        <f t="shared" si="66"/>
        <v>142907.66470964672</v>
      </c>
      <c r="G140" s="153">
        <f t="shared" si="87"/>
        <v>8.7520626668333872</v>
      </c>
      <c r="H140" s="357">
        <f t="shared" si="78"/>
        <v>3.0727500000000019E-2</v>
      </c>
      <c r="I140" s="15">
        <v>2092</v>
      </c>
      <c r="J140" s="13">
        <f t="shared" si="91"/>
        <v>163293.35626062626</v>
      </c>
      <c r="K140" s="65">
        <f t="shared" si="97"/>
        <v>0.17749999999999999</v>
      </c>
      <c r="L140" s="65">
        <f t="shared" si="98"/>
        <v>0.10450000000000001</v>
      </c>
      <c r="M140" s="65">
        <f t="shared" si="75"/>
        <v>7.2999999999999982E-2</v>
      </c>
      <c r="N140" s="65">
        <f t="shared" si="72"/>
        <v>2.3000000000000003E-2</v>
      </c>
      <c r="O140" s="65">
        <f>IF(Simulation!$D$43="Oui",$Q140,0)</f>
        <v>1.9000000000000003E-2</v>
      </c>
      <c r="P140" s="65">
        <f>IF(Simulation!$D$43="Oui",$R140,0)</f>
        <v>4.0000000000000001E-3</v>
      </c>
      <c r="Q140" s="678">
        <f t="shared" ref="Q140:R140" si="114">Q139</f>
        <v>1.9000000000000003E-2</v>
      </c>
      <c r="R140" s="678">
        <f t="shared" si="114"/>
        <v>4.0000000000000001E-3</v>
      </c>
      <c r="S140" s="21">
        <f t="shared" si="67"/>
        <v>11777.686503558709</v>
      </c>
      <c r="T140" s="74">
        <f t="shared" si="68"/>
        <v>1.7500000000000002E-2</v>
      </c>
      <c r="U140" s="74">
        <f t="shared" si="68"/>
        <v>1.7500000000000002E-2</v>
      </c>
      <c r="V140" s="75">
        <f t="shared" si="93"/>
        <v>341820.66169407242</v>
      </c>
      <c r="W140" s="78">
        <f t="shared" si="69"/>
        <v>157351.74826866807</v>
      </c>
      <c r="X140" s="78">
        <f>IF(Simulation!$D$32="SMPT",(1+$E140)*X139,X139*(1+$U140))</f>
        <v>26081.815955950613</v>
      </c>
      <c r="Y140" s="78">
        <f>IF(Simulation!$D$32="SMPT",(1+$E140)*Y139,Y139*(1+$U140))</f>
        <v>28500.2870066994</v>
      </c>
      <c r="Z140" s="78">
        <f t="shared" si="100"/>
        <v>48622.763484079238</v>
      </c>
      <c r="AA140" s="58"/>
      <c r="AB140" s="15">
        <v>2092</v>
      </c>
      <c r="AC140" s="64">
        <f t="shared" si="101"/>
        <v>6.2E-2</v>
      </c>
      <c r="AD140" s="65">
        <f t="shared" si="101"/>
        <v>3.7200000000000004E-2</v>
      </c>
      <c r="AE140" s="65">
        <f t="shared" si="76"/>
        <v>2.4799999999999996E-2</v>
      </c>
      <c r="AF140" s="65">
        <f t="shared" si="102"/>
        <v>0.17</v>
      </c>
      <c r="AG140" s="65">
        <f t="shared" si="102"/>
        <v>0.10200000000000001</v>
      </c>
      <c r="AH140" s="65">
        <f t="shared" si="77"/>
        <v>6.8000000000000005E-2</v>
      </c>
      <c r="AI140" s="66">
        <f t="shared" si="103"/>
        <v>1.27</v>
      </c>
      <c r="AJ140" s="66"/>
      <c r="AK140" s="66"/>
      <c r="AL140" s="65">
        <f t="shared" si="73"/>
        <v>3.4999999999999996E-3</v>
      </c>
      <c r="AM140" s="65">
        <f>IF(Simulation!$D$42="Oui",Barèmes!$AO140,0)</f>
        <v>2.0999999999999999E-3</v>
      </c>
      <c r="AN140" s="65">
        <f>IF(Simulation!$D$42="Oui",Barèmes!$AP140,0)</f>
        <v>1.3999999999999998E-3</v>
      </c>
      <c r="AO140" s="678">
        <f t="shared" si="104"/>
        <v>2.0999999999999999E-3</v>
      </c>
      <c r="AP140" s="678">
        <f t="shared" si="105"/>
        <v>1.3999999999999998E-3</v>
      </c>
      <c r="AQ140" s="65">
        <f t="shared" si="71"/>
        <v>2.1499999999999998E-2</v>
      </c>
      <c r="AR140" s="65">
        <f>IF(Simulation!$D$42="Oui",Barèmes!$AT140,0)</f>
        <v>1.29E-2</v>
      </c>
      <c r="AS140" s="65">
        <f>IF(Simulation!$D$42="Oui",Barèmes!$AU140,0)</f>
        <v>8.6E-3</v>
      </c>
      <c r="AT140" s="678">
        <f t="shared" si="106"/>
        <v>1.29E-2</v>
      </c>
      <c r="AU140" s="678">
        <f t="shared" si="107"/>
        <v>8.6E-3</v>
      </c>
      <c r="AV140" s="65">
        <f t="shared" si="74"/>
        <v>2.7000000000000003E-2</v>
      </c>
      <c r="AW140" s="65">
        <f>IF(Simulation!$D$42="Oui",Barèmes!$AY140,0)</f>
        <v>1.6200000000000003E-2</v>
      </c>
      <c r="AX140" s="65">
        <f>IF(Simulation!$D$42="Oui",Barèmes!$AZ140,0)</f>
        <v>1.0800000000000001E-2</v>
      </c>
      <c r="AY140" s="678">
        <f t="shared" si="108"/>
        <v>1.6200000000000003E-2</v>
      </c>
      <c r="AZ140" s="678">
        <f t="shared" si="109"/>
        <v>1.0800000000000001E-2</v>
      </c>
      <c r="BA140" s="70">
        <f t="shared" si="70"/>
        <v>74.131559879847586</v>
      </c>
      <c r="BB140" s="70"/>
      <c r="BC140" s="70"/>
      <c r="BD140" s="70">
        <f t="shared" si="70"/>
        <v>4.8213391484710701</v>
      </c>
      <c r="BE140" s="70"/>
      <c r="BF140" s="70"/>
      <c r="BG140" s="71">
        <f t="shared" si="89"/>
        <v>4.7459313735505457</v>
      </c>
      <c r="BH140" s="71"/>
      <c r="BI140" s="71"/>
      <c r="BJ140" s="18">
        <f t="shared" si="62"/>
        <v>7940.761504560659</v>
      </c>
      <c r="BL140" s="15">
        <v>2092</v>
      </c>
      <c r="BM140" s="22">
        <f>BM139*IF(Simulation!$D$35="SMPT",1+$E140,IF(Simulation!$D$35="PRIX",1+$B140))</f>
        <v>38851.534086970838</v>
      </c>
      <c r="BN140" s="23">
        <f>BN139*IF(Simulation!$D$35="SMPT",1+$E140,IF(Simulation!$D$35="PRIX",1+$B140))</f>
        <v>50791.705765522696</v>
      </c>
      <c r="BO140" s="23">
        <f>BO139*IF(Simulation!$D$35="SMPT",1+$E140,IF(Simulation!$D$35="PRIX",1+$B140))</f>
        <v>78826.929170496704</v>
      </c>
      <c r="BP140" s="5"/>
      <c r="BQ140" s="146">
        <v>0</v>
      </c>
      <c r="BR140" s="146">
        <v>4.2999999999999997E-2</v>
      </c>
      <c r="BS140" s="146">
        <v>7.3999999999999996E-2</v>
      </c>
      <c r="BT140" s="146">
        <v>9.0999999999999998E-2</v>
      </c>
      <c r="BV140" s="15">
        <v>2092</v>
      </c>
      <c r="BW140" s="22">
        <f>BW139*IF(Simulation!$D$35="SMPT",1+$E140,IF(Simulation!$D$35="PRIX",1+$B140))</f>
        <v>59598.689211254357</v>
      </c>
      <c r="BX140" s="23">
        <f>BX139*IF(Simulation!$D$35="SMPT",1+$E140,IF(Simulation!$D$35="PRIX",1+$B140))</f>
        <v>77914.217815718657</v>
      </c>
      <c r="BY140" s="23">
        <f>BY139*IF(Simulation!$D$35="SMPT",1+$E140,IF(Simulation!$D$35="PRIX",1+$B140))</f>
        <v>120913.82067179287</v>
      </c>
      <c r="BZ140" s="5"/>
      <c r="CA140" s="146">
        <v>0</v>
      </c>
      <c r="CB140" s="146">
        <f t="shared" si="94"/>
        <v>4.2999999999999997E-2</v>
      </c>
      <c r="CC140" s="146">
        <f t="shared" si="95"/>
        <v>7.3999999999999996E-2</v>
      </c>
      <c r="CD140" s="146">
        <f t="shared" si="96"/>
        <v>9.0999999999999998E-2</v>
      </c>
      <c r="CE140" s="146">
        <f t="shared" si="96"/>
        <v>3.2000000000000001E-2</v>
      </c>
      <c r="CG140" s="15">
        <v>2092</v>
      </c>
      <c r="CH140" s="317">
        <f t="shared" si="82"/>
        <v>9.1999999999999998E-2</v>
      </c>
      <c r="CI140" s="311">
        <f t="shared" si="83"/>
        <v>6.8000000000000005E-2</v>
      </c>
      <c r="CJ140" s="311">
        <f t="shared" si="84"/>
        <v>5.0000000000000001E-3</v>
      </c>
      <c r="CK140" s="311">
        <f t="shared" si="84"/>
        <v>0.98250000000000004</v>
      </c>
      <c r="CL140" s="313">
        <f t="shared" si="85"/>
        <v>0</v>
      </c>
      <c r="CM140" s="313">
        <v>0</v>
      </c>
      <c r="CN140" s="313">
        <v>0</v>
      </c>
      <c r="CO140" s="318">
        <f t="shared" si="86"/>
        <v>2.4000000000000001E-4</v>
      </c>
    </row>
    <row r="141" spans="1:93" x14ac:dyDescent="0.25">
      <c r="A141" s="15">
        <v>2093</v>
      </c>
      <c r="B141" s="55">
        <f t="shared" si="63"/>
        <v>1.7500000000000002E-2</v>
      </c>
      <c r="C141" s="61">
        <f t="shared" si="90"/>
        <v>3.4275351856691434</v>
      </c>
      <c r="D141" s="21">
        <f t="shared" si="64"/>
        <v>331332.40304411243</v>
      </c>
      <c r="E141" s="57">
        <f t="shared" si="65"/>
        <v>3.0727500000000019E-2</v>
      </c>
      <c r="F141" s="21">
        <f t="shared" si="66"/>
        <v>147298.85997701238</v>
      </c>
      <c r="G141" s="153">
        <f t="shared" si="87"/>
        <v>9.0209916724285115</v>
      </c>
      <c r="H141" s="357">
        <f t="shared" si="78"/>
        <v>3.0727500000000019E-2</v>
      </c>
      <c r="I141" s="15">
        <v>2093</v>
      </c>
      <c r="J141" s="13">
        <f t="shared" si="91"/>
        <v>168310.95286512462</v>
      </c>
      <c r="K141" s="65">
        <f t="shared" si="97"/>
        <v>0.17749999999999999</v>
      </c>
      <c r="L141" s="65">
        <f t="shared" si="98"/>
        <v>0.10450000000000001</v>
      </c>
      <c r="M141" s="65">
        <f t="shared" si="75"/>
        <v>7.2999999999999982E-2</v>
      </c>
      <c r="N141" s="65">
        <f t="shared" si="72"/>
        <v>2.3000000000000003E-2</v>
      </c>
      <c r="O141" s="65">
        <f>IF(Simulation!$D$43="Oui",$Q141,0)</f>
        <v>1.9000000000000003E-2</v>
      </c>
      <c r="P141" s="65">
        <f>IF(Simulation!$D$43="Oui",$R141,0)</f>
        <v>4.0000000000000001E-3</v>
      </c>
      <c r="Q141" s="678">
        <f t="shared" ref="Q141:R141" si="115">Q140</f>
        <v>1.9000000000000003E-2</v>
      </c>
      <c r="R141" s="678">
        <f t="shared" si="115"/>
        <v>4.0000000000000001E-3</v>
      </c>
      <c r="S141" s="21">
        <f t="shared" si="67"/>
        <v>12139.585365596809</v>
      </c>
      <c r="T141" s="74">
        <f t="shared" si="68"/>
        <v>1.7500000000000002E-2</v>
      </c>
      <c r="U141" s="74">
        <f t="shared" si="68"/>
        <v>1.7500000000000002E-2</v>
      </c>
      <c r="V141" s="75">
        <f t="shared" si="93"/>
        <v>352323.95607627701</v>
      </c>
      <c r="W141" s="78">
        <f t="shared" si="69"/>
        <v>162186.77411359356</v>
      </c>
      <c r="X141" s="78">
        <f>IF(Simulation!$D$32="SMPT",(1+$E141)*X140,X140*(1+$U141))</f>
        <v>26538.24773517975</v>
      </c>
      <c r="Y141" s="78">
        <f>IF(Simulation!$D$32="SMPT",(1+$E141)*Y140,Y140*(1+$U141))</f>
        <v>28999.042029316643</v>
      </c>
      <c r="Z141" s="78">
        <f t="shared" si="100"/>
        <v>49473.661845050628</v>
      </c>
      <c r="AA141" s="58"/>
      <c r="AB141" s="15">
        <v>2093</v>
      </c>
      <c r="AC141" s="64">
        <f t="shared" si="101"/>
        <v>6.2E-2</v>
      </c>
      <c r="AD141" s="65">
        <f t="shared" si="101"/>
        <v>3.7200000000000004E-2</v>
      </c>
      <c r="AE141" s="65">
        <f t="shared" si="76"/>
        <v>2.4799999999999996E-2</v>
      </c>
      <c r="AF141" s="65">
        <f t="shared" si="102"/>
        <v>0.17</v>
      </c>
      <c r="AG141" s="65">
        <f t="shared" si="102"/>
        <v>0.10200000000000001</v>
      </c>
      <c r="AH141" s="65">
        <f t="shared" si="77"/>
        <v>6.8000000000000005E-2</v>
      </c>
      <c r="AI141" s="66">
        <f t="shared" si="103"/>
        <v>1.27</v>
      </c>
      <c r="AJ141" s="66"/>
      <c r="AK141" s="66"/>
      <c r="AL141" s="65">
        <f t="shared" si="73"/>
        <v>3.4999999999999996E-3</v>
      </c>
      <c r="AM141" s="65">
        <f>IF(Simulation!$D$42="Oui",Barèmes!$AO141,0)</f>
        <v>2.0999999999999999E-3</v>
      </c>
      <c r="AN141" s="65">
        <f>IF(Simulation!$D$42="Oui",Barèmes!$AP141,0)</f>
        <v>1.3999999999999998E-3</v>
      </c>
      <c r="AO141" s="678">
        <f t="shared" si="104"/>
        <v>2.0999999999999999E-3</v>
      </c>
      <c r="AP141" s="678">
        <f t="shared" si="105"/>
        <v>1.3999999999999998E-3</v>
      </c>
      <c r="AQ141" s="65">
        <f t="shared" si="71"/>
        <v>2.1499999999999998E-2</v>
      </c>
      <c r="AR141" s="65">
        <f>IF(Simulation!$D$42="Oui",Barèmes!$AT141,0)</f>
        <v>1.29E-2</v>
      </c>
      <c r="AS141" s="65">
        <f>IF(Simulation!$D$42="Oui",Barèmes!$AU141,0)</f>
        <v>8.6E-3</v>
      </c>
      <c r="AT141" s="678">
        <f t="shared" si="106"/>
        <v>1.29E-2</v>
      </c>
      <c r="AU141" s="678">
        <f t="shared" si="107"/>
        <v>8.6E-3</v>
      </c>
      <c r="AV141" s="65">
        <f t="shared" si="74"/>
        <v>2.7000000000000003E-2</v>
      </c>
      <c r="AW141" s="65">
        <f>IF(Simulation!$D$42="Oui",Barèmes!$AY141,0)</f>
        <v>1.6200000000000003E-2</v>
      </c>
      <c r="AX141" s="65">
        <f>IF(Simulation!$D$42="Oui",Barèmes!$AZ141,0)</f>
        <v>1.0800000000000001E-2</v>
      </c>
      <c r="AY141" s="678">
        <f t="shared" si="108"/>
        <v>1.6200000000000003E-2</v>
      </c>
      <c r="AZ141" s="678">
        <f t="shared" si="109"/>
        <v>1.0800000000000001E-2</v>
      </c>
      <c r="BA141" s="70">
        <f t="shared" si="70"/>
        <v>75.549511291449363</v>
      </c>
      <c r="BB141" s="70"/>
      <c r="BC141" s="70"/>
      <c r="BD141" s="70">
        <f t="shared" si="70"/>
        <v>4.9135593130334501</v>
      </c>
      <c r="BE141" s="70"/>
      <c r="BF141" s="70"/>
      <c r="BG141" s="71">
        <f t="shared" si="89"/>
        <v>4.8367091758981333</v>
      </c>
      <c r="BH141" s="71"/>
      <c r="BI141" s="71"/>
      <c r="BJ141" s="18">
        <f t="shared" si="62"/>
        <v>8092.6484202391421</v>
      </c>
      <c r="BL141" s="15">
        <v>2093</v>
      </c>
      <c r="BM141" s="22">
        <f>BM140*IF(Simulation!$D$35="SMPT",1+$E141,IF(Simulation!$D$35="PRIX",1+$B141))</f>
        <v>39531.43593349283</v>
      </c>
      <c r="BN141" s="23">
        <f>BN140*IF(Simulation!$D$35="SMPT",1+$E141,IF(Simulation!$D$35="PRIX",1+$B141))</f>
        <v>51680.560616419345</v>
      </c>
      <c r="BO141" s="23">
        <f>BO140*IF(Simulation!$D$35="SMPT",1+$E141,IF(Simulation!$D$35="PRIX",1+$B141))</f>
        <v>80206.4004309804</v>
      </c>
      <c r="BP141" s="5"/>
      <c r="BQ141" s="146">
        <v>0</v>
      </c>
      <c r="BR141" s="146">
        <v>4.2999999999999997E-2</v>
      </c>
      <c r="BS141" s="146">
        <v>7.3999999999999996E-2</v>
      </c>
      <c r="BT141" s="146">
        <v>9.0999999999999998E-2</v>
      </c>
      <c r="BV141" s="15">
        <v>2093</v>
      </c>
      <c r="BW141" s="22">
        <f>BW140*IF(Simulation!$D$35="SMPT",1+$E141,IF(Simulation!$D$35="PRIX",1+$B141))</f>
        <v>60641.666272451315</v>
      </c>
      <c r="BX141" s="23">
        <f>BX140*IF(Simulation!$D$35="SMPT",1+$E141,IF(Simulation!$D$35="PRIX",1+$B141))</f>
        <v>79277.716627493734</v>
      </c>
      <c r="BY141" s="23">
        <f>BY140*IF(Simulation!$D$35="SMPT",1+$E141,IF(Simulation!$D$35="PRIX",1+$B141))</f>
        <v>123029.81253354925</v>
      </c>
      <c r="BZ141" s="5"/>
      <c r="CA141" s="146">
        <v>0</v>
      </c>
      <c r="CB141" s="146">
        <f t="shared" si="94"/>
        <v>4.2999999999999997E-2</v>
      </c>
      <c r="CC141" s="146">
        <f t="shared" si="95"/>
        <v>7.3999999999999996E-2</v>
      </c>
      <c r="CD141" s="146">
        <f t="shared" si="96"/>
        <v>9.0999999999999998E-2</v>
      </c>
      <c r="CE141" s="146">
        <f t="shared" si="96"/>
        <v>3.2000000000000001E-2</v>
      </c>
      <c r="CG141" s="15">
        <v>2093</v>
      </c>
      <c r="CH141" s="317">
        <f t="shared" si="82"/>
        <v>9.1999999999999998E-2</v>
      </c>
      <c r="CI141" s="311">
        <f t="shared" si="83"/>
        <v>6.8000000000000005E-2</v>
      </c>
      <c r="CJ141" s="311">
        <f t="shared" si="84"/>
        <v>5.0000000000000001E-3</v>
      </c>
      <c r="CK141" s="311">
        <f t="shared" si="84"/>
        <v>0.98250000000000004</v>
      </c>
      <c r="CL141" s="313">
        <f t="shared" si="85"/>
        <v>0</v>
      </c>
      <c r="CM141" s="313">
        <v>0</v>
      </c>
      <c r="CN141" s="313">
        <v>0</v>
      </c>
      <c r="CO141" s="318">
        <f t="shared" si="86"/>
        <v>2.4000000000000001E-4</v>
      </c>
    </row>
    <row r="142" spans="1:93" x14ac:dyDescent="0.25">
      <c r="A142" s="15">
        <v>2094</v>
      </c>
      <c r="B142" s="55">
        <f t="shared" si="63"/>
        <v>1.7500000000000002E-2</v>
      </c>
      <c r="C142" s="61">
        <f t="shared" si="90"/>
        <v>3.4875170514183536</v>
      </c>
      <c r="D142" s="21">
        <f t="shared" si="64"/>
        <v>341513.4194586504</v>
      </c>
      <c r="E142" s="57">
        <f t="shared" si="65"/>
        <v>3.0727500000000019E-2</v>
      </c>
      <c r="F142" s="21">
        <f t="shared" si="66"/>
        <v>151824.98569695605</v>
      </c>
      <c r="G142" s="153">
        <f t="shared" si="87"/>
        <v>9.2981841940430581</v>
      </c>
      <c r="H142" s="357">
        <f t="shared" si="78"/>
        <v>3.0727500000000019E-2</v>
      </c>
      <c r="I142" s="15">
        <v>2094</v>
      </c>
      <c r="J142" s="13">
        <f t="shared" si="91"/>
        <v>173482.72766928773</v>
      </c>
      <c r="K142" s="65">
        <f t="shared" si="97"/>
        <v>0.17749999999999999</v>
      </c>
      <c r="L142" s="65">
        <f t="shared" si="98"/>
        <v>0.10450000000000001</v>
      </c>
      <c r="M142" s="65">
        <f t="shared" si="75"/>
        <v>7.2999999999999982E-2</v>
      </c>
      <c r="N142" s="65">
        <f t="shared" si="72"/>
        <v>2.3000000000000003E-2</v>
      </c>
      <c r="O142" s="65">
        <f>IF(Simulation!$D$43="Oui",$Q142,0)</f>
        <v>1.9000000000000003E-2</v>
      </c>
      <c r="P142" s="65">
        <f>IF(Simulation!$D$43="Oui",$R142,0)</f>
        <v>4.0000000000000001E-3</v>
      </c>
      <c r="Q142" s="678">
        <f t="shared" ref="Q142:R142" si="116">Q141</f>
        <v>1.9000000000000003E-2</v>
      </c>
      <c r="R142" s="678">
        <f t="shared" si="116"/>
        <v>4.0000000000000001E-3</v>
      </c>
      <c r="S142" s="21">
        <f t="shared" si="67"/>
        <v>12512.604474918186</v>
      </c>
      <c r="T142" s="74">
        <f t="shared" si="68"/>
        <v>1.7500000000000002E-2</v>
      </c>
      <c r="U142" s="74">
        <f t="shared" si="68"/>
        <v>1.7500000000000002E-2</v>
      </c>
      <c r="V142" s="75">
        <f t="shared" si="93"/>
        <v>363149.99043661082</v>
      </c>
      <c r="W142" s="78">
        <f t="shared" si="69"/>
        <v>167170.36821516903</v>
      </c>
      <c r="X142" s="78">
        <f>IF(Simulation!$D$32="SMPT",(1+$E142)*X141,X141*(1+$U142))</f>
        <v>27002.667070545398</v>
      </c>
      <c r="Y142" s="78">
        <f>IF(Simulation!$D$32="SMPT",(1+$E142)*Y141,Y141*(1+$U142))</f>
        <v>29506.525264829685</v>
      </c>
      <c r="Z142" s="78">
        <f t="shared" si="100"/>
        <v>50339.450927339021</v>
      </c>
      <c r="AA142" s="58"/>
      <c r="AB142" s="15">
        <v>2094</v>
      </c>
      <c r="AC142" s="64">
        <f t="shared" si="101"/>
        <v>6.2E-2</v>
      </c>
      <c r="AD142" s="65">
        <f t="shared" si="101"/>
        <v>3.7200000000000004E-2</v>
      </c>
      <c r="AE142" s="65">
        <f t="shared" si="76"/>
        <v>2.4799999999999996E-2</v>
      </c>
      <c r="AF142" s="65">
        <f t="shared" si="102"/>
        <v>0.17</v>
      </c>
      <c r="AG142" s="65">
        <f t="shared" si="102"/>
        <v>0.10200000000000001</v>
      </c>
      <c r="AH142" s="65">
        <f t="shared" si="77"/>
        <v>6.8000000000000005E-2</v>
      </c>
      <c r="AI142" s="66">
        <f t="shared" si="103"/>
        <v>1.27</v>
      </c>
      <c r="AJ142" s="66"/>
      <c r="AK142" s="66"/>
      <c r="AL142" s="65">
        <f t="shared" si="73"/>
        <v>3.4999999999999996E-3</v>
      </c>
      <c r="AM142" s="65">
        <f>IF(Simulation!$D$42="Oui",Barèmes!$AO142,0)</f>
        <v>2.0999999999999999E-3</v>
      </c>
      <c r="AN142" s="65">
        <f>IF(Simulation!$D$42="Oui",Barèmes!$AP142,0)</f>
        <v>1.3999999999999998E-3</v>
      </c>
      <c r="AO142" s="678">
        <f t="shared" si="104"/>
        <v>2.0999999999999999E-3</v>
      </c>
      <c r="AP142" s="678">
        <f t="shared" si="105"/>
        <v>1.3999999999999998E-3</v>
      </c>
      <c r="AQ142" s="65">
        <f t="shared" si="71"/>
        <v>2.1499999999999998E-2</v>
      </c>
      <c r="AR142" s="65">
        <f>IF(Simulation!$D$42="Oui",Barèmes!$AT142,0)</f>
        <v>1.29E-2</v>
      </c>
      <c r="AS142" s="65">
        <f>IF(Simulation!$D$42="Oui",Barèmes!$AU142,0)</f>
        <v>8.6E-3</v>
      </c>
      <c r="AT142" s="678">
        <f t="shared" si="106"/>
        <v>1.29E-2</v>
      </c>
      <c r="AU142" s="678">
        <f t="shared" si="107"/>
        <v>8.6E-3</v>
      </c>
      <c r="AV142" s="65">
        <f t="shared" si="74"/>
        <v>2.7000000000000003E-2</v>
      </c>
      <c r="AW142" s="65">
        <f>IF(Simulation!$D$42="Oui",Barèmes!$AY142,0)</f>
        <v>1.6200000000000003E-2</v>
      </c>
      <c r="AX142" s="65">
        <f>IF(Simulation!$D$42="Oui",Barèmes!$AZ142,0)</f>
        <v>1.0800000000000001E-2</v>
      </c>
      <c r="AY142" s="678">
        <f t="shared" si="108"/>
        <v>1.6200000000000003E-2</v>
      </c>
      <c r="AZ142" s="678">
        <f t="shared" si="109"/>
        <v>1.0800000000000001E-2</v>
      </c>
      <c r="BA142" s="70">
        <f t="shared" si="70"/>
        <v>76.994584568676558</v>
      </c>
      <c r="BB142" s="70"/>
      <c r="BC142" s="70"/>
      <c r="BD142" s="70">
        <f t="shared" si="70"/>
        <v>5.0075434187934968</v>
      </c>
      <c r="BE142" s="70"/>
      <c r="BF142" s="70"/>
      <c r="BG142" s="71">
        <f t="shared" si="89"/>
        <v>4.9292233306601245</v>
      </c>
      <c r="BH142" s="71"/>
      <c r="BI142" s="71"/>
      <c r="BJ142" s="18">
        <f t="shared" si="62"/>
        <v>8247.4405528972657</v>
      </c>
      <c r="BL142" s="15">
        <v>2094</v>
      </c>
      <c r="BM142" s="22">
        <f>BM141*IF(Simulation!$D$35="SMPT",1+$E142,IF(Simulation!$D$35="PRIX",1+$B142))</f>
        <v>40223.236062328957</v>
      </c>
      <c r="BN142" s="23">
        <f>BN141*IF(Simulation!$D$35="SMPT",1+$E142,IF(Simulation!$D$35="PRIX",1+$B142))</f>
        <v>52584.970427206688</v>
      </c>
      <c r="BO142" s="23">
        <f>BO141*IF(Simulation!$D$35="SMPT",1+$E142,IF(Simulation!$D$35="PRIX",1+$B142))</f>
        <v>81610.012438522564</v>
      </c>
      <c r="BP142" s="5"/>
      <c r="BQ142" s="146">
        <v>0</v>
      </c>
      <c r="BR142" s="146">
        <v>4.2999999999999997E-2</v>
      </c>
      <c r="BS142" s="146">
        <v>7.3999999999999996E-2</v>
      </c>
      <c r="BT142" s="146">
        <v>9.0999999999999998E-2</v>
      </c>
      <c r="BV142" s="15">
        <v>2094</v>
      </c>
      <c r="BW142" s="22">
        <f>BW141*IF(Simulation!$D$35="SMPT",1+$E142,IF(Simulation!$D$35="PRIX",1+$B142))</f>
        <v>61702.895432219215</v>
      </c>
      <c r="BX142" s="23">
        <f>BX141*IF(Simulation!$D$35="SMPT",1+$E142,IF(Simulation!$D$35="PRIX",1+$B142))</f>
        <v>80665.076668474881</v>
      </c>
      <c r="BY142" s="23">
        <f>BY141*IF(Simulation!$D$35="SMPT",1+$E142,IF(Simulation!$D$35="PRIX",1+$B142))</f>
        <v>125182.83425288637</v>
      </c>
      <c r="BZ142" s="5"/>
      <c r="CA142" s="146">
        <v>0</v>
      </c>
      <c r="CB142" s="146">
        <f t="shared" si="94"/>
        <v>4.2999999999999997E-2</v>
      </c>
      <c r="CC142" s="146">
        <f t="shared" si="95"/>
        <v>7.3999999999999996E-2</v>
      </c>
      <c r="CD142" s="146">
        <f t="shared" si="96"/>
        <v>9.0999999999999998E-2</v>
      </c>
      <c r="CE142" s="146">
        <f t="shared" si="96"/>
        <v>3.2000000000000001E-2</v>
      </c>
      <c r="CG142" s="15">
        <v>2094</v>
      </c>
      <c r="CH142" s="317">
        <f t="shared" si="82"/>
        <v>9.1999999999999998E-2</v>
      </c>
      <c r="CI142" s="311">
        <f t="shared" si="83"/>
        <v>6.8000000000000005E-2</v>
      </c>
      <c r="CJ142" s="311">
        <f t="shared" si="84"/>
        <v>5.0000000000000001E-3</v>
      </c>
      <c r="CK142" s="311">
        <f t="shared" si="84"/>
        <v>0.98250000000000004</v>
      </c>
      <c r="CL142" s="313">
        <f t="shared" si="85"/>
        <v>0</v>
      </c>
      <c r="CM142" s="313">
        <v>0</v>
      </c>
      <c r="CN142" s="313">
        <v>0</v>
      </c>
      <c r="CO142" s="318">
        <f t="shared" si="86"/>
        <v>2.4000000000000001E-4</v>
      </c>
    </row>
    <row r="143" spans="1:93" x14ac:dyDescent="0.25">
      <c r="A143" s="15">
        <v>2095</v>
      </c>
      <c r="B143" s="55">
        <f t="shared" si="63"/>
        <v>1.7500000000000002E-2</v>
      </c>
      <c r="C143" s="61">
        <f t="shared" si="90"/>
        <v>3.5485485998181749</v>
      </c>
      <c r="D143" s="21">
        <f t="shared" si="64"/>
        <v>352007.27305506606</v>
      </c>
      <c r="E143" s="57">
        <f t="shared" si="65"/>
        <v>3.0727500000000019E-2</v>
      </c>
      <c r="F143" s="21">
        <f t="shared" si="66"/>
        <v>156490.18794495927</v>
      </c>
      <c r="G143" s="153">
        <f t="shared" si="87"/>
        <v>9.5838941488655163</v>
      </c>
      <c r="H143" s="357">
        <f t="shared" si="78"/>
        <v>3.0727500000000019E-2</v>
      </c>
      <c r="I143" s="15">
        <v>2095</v>
      </c>
      <c r="J143" s="13">
        <f t="shared" si="91"/>
        <v>178813.41818374579</v>
      </c>
      <c r="K143" s="65">
        <f t="shared" si="97"/>
        <v>0.17749999999999999</v>
      </c>
      <c r="L143" s="65">
        <f t="shared" si="98"/>
        <v>0.10450000000000001</v>
      </c>
      <c r="M143" s="65">
        <f t="shared" si="75"/>
        <v>7.2999999999999982E-2</v>
      </c>
      <c r="N143" s="65">
        <f t="shared" si="72"/>
        <v>2.3000000000000003E-2</v>
      </c>
      <c r="O143" s="65">
        <f>IF(Simulation!$D$43="Oui",$Q143,0)</f>
        <v>1.9000000000000003E-2</v>
      </c>
      <c r="P143" s="65">
        <f>IF(Simulation!$D$43="Oui",$R143,0)</f>
        <v>4.0000000000000001E-3</v>
      </c>
      <c r="Q143" s="678">
        <f t="shared" ref="Q143:R143" si="117">Q142</f>
        <v>1.9000000000000003E-2</v>
      </c>
      <c r="R143" s="678">
        <f t="shared" si="117"/>
        <v>4.0000000000000001E-3</v>
      </c>
      <c r="S143" s="21">
        <f t="shared" si="67"/>
        <v>12897.085528921234</v>
      </c>
      <c r="T143" s="74">
        <f t="shared" si="68"/>
        <v>1.7500000000000002E-2</v>
      </c>
      <c r="U143" s="74">
        <f t="shared" si="68"/>
        <v>1.7500000000000002E-2</v>
      </c>
      <c r="V143" s="75">
        <f t="shared" si="93"/>
        <v>374308.68176775175</v>
      </c>
      <c r="W143" s="78">
        <f t="shared" si="69"/>
        <v>172307.09570450062</v>
      </c>
      <c r="X143" s="78">
        <f>IF(Simulation!$D$32="SMPT",(1+$E143)*X142,X142*(1+$U143))</f>
        <v>27475.213744279943</v>
      </c>
      <c r="Y143" s="78">
        <f>IF(Simulation!$D$32="SMPT",(1+$E143)*Y142,Y142*(1+$U143))</f>
        <v>30022.889456964207</v>
      </c>
      <c r="Z143" s="78">
        <f t="shared" si="100"/>
        <v>51220.391318567461</v>
      </c>
      <c r="AA143" s="58"/>
      <c r="AB143" s="15">
        <v>2095</v>
      </c>
      <c r="AC143" s="64">
        <f t="shared" si="101"/>
        <v>6.2E-2</v>
      </c>
      <c r="AD143" s="65">
        <f t="shared" si="101"/>
        <v>3.7200000000000004E-2</v>
      </c>
      <c r="AE143" s="65">
        <f t="shared" si="76"/>
        <v>2.4799999999999996E-2</v>
      </c>
      <c r="AF143" s="65">
        <f t="shared" si="102"/>
        <v>0.17</v>
      </c>
      <c r="AG143" s="65">
        <f t="shared" si="102"/>
        <v>0.10200000000000001</v>
      </c>
      <c r="AH143" s="65">
        <f t="shared" si="77"/>
        <v>6.8000000000000005E-2</v>
      </c>
      <c r="AI143" s="66">
        <f t="shared" si="103"/>
        <v>1.27</v>
      </c>
      <c r="AJ143" s="66"/>
      <c r="AK143" s="66"/>
      <c r="AL143" s="65">
        <f t="shared" si="73"/>
        <v>3.4999999999999996E-3</v>
      </c>
      <c r="AM143" s="65">
        <f>IF(Simulation!$D$42="Oui",Barèmes!$AO143,0)</f>
        <v>2.0999999999999999E-3</v>
      </c>
      <c r="AN143" s="65">
        <f>IF(Simulation!$D$42="Oui",Barèmes!$AP143,0)</f>
        <v>1.3999999999999998E-3</v>
      </c>
      <c r="AO143" s="678">
        <f t="shared" si="104"/>
        <v>2.0999999999999999E-3</v>
      </c>
      <c r="AP143" s="678">
        <f t="shared" si="105"/>
        <v>1.3999999999999998E-3</v>
      </c>
      <c r="AQ143" s="65">
        <f t="shared" si="71"/>
        <v>2.1499999999999998E-2</v>
      </c>
      <c r="AR143" s="65">
        <f>IF(Simulation!$D$42="Oui",Barèmes!$AT143,0)</f>
        <v>1.29E-2</v>
      </c>
      <c r="AS143" s="65">
        <f>IF(Simulation!$D$42="Oui",Barèmes!$AU143,0)</f>
        <v>8.6E-3</v>
      </c>
      <c r="AT143" s="678">
        <f t="shared" si="106"/>
        <v>1.29E-2</v>
      </c>
      <c r="AU143" s="678">
        <f t="shared" si="107"/>
        <v>8.6E-3</v>
      </c>
      <c r="AV143" s="65">
        <f t="shared" si="74"/>
        <v>2.7000000000000003E-2</v>
      </c>
      <c r="AW143" s="65">
        <f>IF(Simulation!$D$42="Oui",Barèmes!$AY143,0)</f>
        <v>1.6200000000000003E-2</v>
      </c>
      <c r="AX143" s="65">
        <f>IF(Simulation!$D$42="Oui",Barèmes!$AZ143,0)</f>
        <v>1.0800000000000001E-2</v>
      </c>
      <c r="AY143" s="678">
        <f t="shared" si="108"/>
        <v>1.6200000000000003E-2</v>
      </c>
      <c r="AZ143" s="678">
        <f t="shared" si="109"/>
        <v>1.0800000000000001E-2</v>
      </c>
      <c r="BA143" s="70">
        <f t="shared" si="70"/>
        <v>78.467298485013913</v>
      </c>
      <c r="BB143" s="70"/>
      <c r="BC143" s="70"/>
      <c r="BD143" s="70">
        <f t="shared" si="70"/>
        <v>5.1033252055364695</v>
      </c>
      <c r="BE143" s="70"/>
      <c r="BF143" s="70"/>
      <c r="BG143" s="71">
        <f t="shared" si="89"/>
        <v>5.0235070499173258</v>
      </c>
      <c r="BH143" s="71"/>
      <c r="BI143" s="71"/>
      <c r="BJ143" s="18">
        <f t="shared" si="62"/>
        <v>8405.1934720728077</v>
      </c>
      <c r="BL143" s="15">
        <v>2095</v>
      </c>
      <c r="BM143" s="22">
        <f>BM142*IF(Simulation!$D$35="SMPT",1+$E143,IF(Simulation!$D$35="PRIX",1+$B143))</f>
        <v>40927.142693419715</v>
      </c>
      <c r="BN143" s="23">
        <f>BN142*IF(Simulation!$D$35="SMPT",1+$E143,IF(Simulation!$D$35="PRIX",1+$B143))</f>
        <v>53505.207409682807</v>
      </c>
      <c r="BO143" s="23">
        <f>BO142*IF(Simulation!$D$35="SMPT",1+$E143,IF(Simulation!$D$35="PRIX",1+$B143))</f>
        <v>83038.187656196722</v>
      </c>
      <c r="BP143" s="5"/>
      <c r="BQ143" s="146">
        <v>0</v>
      </c>
      <c r="BR143" s="146">
        <v>4.2999999999999997E-2</v>
      </c>
      <c r="BS143" s="146">
        <v>7.3999999999999996E-2</v>
      </c>
      <c r="BT143" s="146">
        <v>9.0999999999999998E-2</v>
      </c>
      <c r="BV143" s="15">
        <v>2095</v>
      </c>
      <c r="BW143" s="22">
        <f>BW142*IF(Simulation!$D$35="SMPT",1+$E143,IF(Simulation!$D$35="PRIX",1+$B143))</f>
        <v>62782.696102283058</v>
      </c>
      <c r="BX143" s="23">
        <f>BX142*IF(Simulation!$D$35="SMPT",1+$E143,IF(Simulation!$D$35="PRIX",1+$B143))</f>
        <v>82076.715510173191</v>
      </c>
      <c r="BY143" s="23">
        <f>BY142*IF(Simulation!$D$35="SMPT",1+$E143,IF(Simulation!$D$35="PRIX",1+$B143))</f>
        <v>127373.5338523119</v>
      </c>
      <c r="BZ143" s="5"/>
      <c r="CA143" s="146">
        <v>0</v>
      </c>
      <c r="CB143" s="146">
        <f t="shared" si="94"/>
        <v>4.2999999999999997E-2</v>
      </c>
      <c r="CC143" s="146">
        <f t="shared" si="95"/>
        <v>7.3999999999999996E-2</v>
      </c>
      <c r="CD143" s="146">
        <f t="shared" si="96"/>
        <v>9.0999999999999998E-2</v>
      </c>
      <c r="CE143" s="146">
        <f t="shared" si="96"/>
        <v>3.2000000000000001E-2</v>
      </c>
      <c r="CG143" s="15">
        <v>2095</v>
      </c>
      <c r="CH143" s="317">
        <f t="shared" si="82"/>
        <v>9.1999999999999998E-2</v>
      </c>
      <c r="CI143" s="311">
        <f t="shared" si="83"/>
        <v>6.8000000000000005E-2</v>
      </c>
      <c r="CJ143" s="311">
        <f t="shared" si="84"/>
        <v>5.0000000000000001E-3</v>
      </c>
      <c r="CK143" s="311">
        <f t="shared" si="84"/>
        <v>0.98250000000000004</v>
      </c>
      <c r="CL143" s="313">
        <f t="shared" si="85"/>
        <v>0</v>
      </c>
      <c r="CM143" s="313">
        <v>0</v>
      </c>
      <c r="CN143" s="313">
        <v>0</v>
      </c>
      <c r="CO143" s="318">
        <f t="shared" si="86"/>
        <v>2.4000000000000001E-4</v>
      </c>
    </row>
    <row r="144" spans="1:93" x14ac:dyDescent="0.25">
      <c r="A144" s="15">
        <v>2096</v>
      </c>
      <c r="B144" s="55">
        <f t="shared" si="63"/>
        <v>1.7500000000000002E-2</v>
      </c>
      <c r="C144" s="61">
        <f t="shared" si="90"/>
        <v>3.6106482003149933</v>
      </c>
      <c r="D144" s="21">
        <f t="shared" si="64"/>
        <v>362823.57653786562</v>
      </c>
      <c r="E144" s="57">
        <f t="shared" si="65"/>
        <v>3.0727500000000019E-2</v>
      </c>
      <c r="F144" s="21">
        <f t="shared" si="66"/>
        <v>161298.740195038</v>
      </c>
      <c r="G144" s="153">
        <f t="shared" si="87"/>
        <v>9.8783832563247813</v>
      </c>
      <c r="H144" s="357">
        <f t="shared" si="78"/>
        <v>3.0727500000000019E-2</v>
      </c>
      <c r="I144" s="15">
        <v>2096</v>
      </c>
      <c r="J144" s="13">
        <f t="shared" si="91"/>
        <v>184307.90749098684</v>
      </c>
      <c r="K144" s="65">
        <f t="shared" si="97"/>
        <v>0.17749999999999999</v>
      </c>
      <c r="L144" s="65">
        <f t="shared" si="98"/>
        <v>0.10450000000000001</v>
      </c>
      <c r="M144" s="65">
        <f t="shared" si="75"/>
        <v>7.2999999999999982E-2</v>
      </c>
      <c r="N144" s="65">
        <f t="shared" si="72"/>
        <v>2.3000000000000003E-2</v>
      </c>
      <c r="O144" s="65">
        <f>IF(Simulation!$D$43="Oui",$Q144,0)</f>
        <v>1.9000000000000003E-2</v>
      </c>
      <c r="P144" s="65">
        <f>IF(Simulation!$D$43="Oui",$R144,0)</f>
        <v>4.0000000000000001E-3</v>
      </c>
      <c r="Q144" s="678">
        <f t="shared" ref="Q144:R144" si="118">Q143</f>
        <v>1.9000000000000003E-2</v>
      </c>
      <c r="R144" s="678">
        <f t="shared" si="118"/>
        <v>4.0000000000000001E-3</v>
      </c>
      <c r="S144" s="21">
        <f t="shared" si="67"/>
        <v>13293.380724511162</v>
      </c>
      <c r="T144" s="74">
        <f t="shared" si="68"/>
        <v>1.7500000000000002E-2</v>
      </c>
      <c r="U144" s="74">
        <f t="shared" si="68"/>
        <v>1.7500000000000002E-2</v>
      </c>
      <c r="V144" s="75">
        <f t="shared" si="93"/>
        <v>385810.25178677036</v>
      </c>
      <c r="W144" s="78">
        <f t="shared" si="69"/>
        <v>177601.66198776069</v>
      </c>
      <c r="X144" s="78">
        <f>IF(Simulation!$D$32="SMPT",(1+$E144)*X143,X143*(1+$U144))</f>
        <v>27956.029984804845</v>
      </c>
      <c r="Y144" s="78">
        <f>IF(Simulation!$D$32="SMPT",(1+$E144)*Y143,Y143*(1+$U144))</f>
        <v>30548.290022461082</v>
      </c>
      <c r="Z144" s="78">
        <f t="shared" si="100"/>
        <v>52116.748166642399</v>
      </c>
      <c r="AA144" s="58"/>
      <c r="AB144" s="15">
        <v>2096</v>
      </c>
      <c r="AC144" s="64">
        <f t="shared" si="101"/>
        <v>6.2E-2</v>
      </c>
      <c r="AD144" s="65">
        <f t="shared" si="101"/>
        <v>3.7200000000000004E-2</v>
      </c>
      <c r="AE144" s="65">
        <f t="shared" si="76"/>
        <v>2.4799999999999996E-2</v>
      </c>
      <c r="AF144" s="65">
        <f t="shared" si="102"/>
        <v>0.17</v>
      </c>
      <c r="AG144" s="65">
        <f t="shared" si="102"/>
        <v>0.10200000000000001</v>
      </c>
      <c r="AH144" s="65">
        <f t="shared" si="77"/>
        <v>6.8000000000000005E-2</v>
      </c>
      <c r="AI144" s="66">
        <f t="shared" si="103"/>
        <v>1.27</v>
      </c>
      <c r="AJ144" s="66"/>
      <c r="AK144" s="66"/>
      <c r="AL144" s="65">
        <f t="shared" si="73"/>
        <v>3.4999999999999996E-3</v>
      </c>
      <c r="AM144" s="65">
        <f>IF(Simulation!$D$42="Oui",Barèmes!$AO144,0)</f>
        <v>2.0999999999999999E-3</v>
      </c>
      <c r="AN144" s="65">
        <f>IF(Simulation!$D$42="Oui",Barèmes!$AP144,0)</f>
        <v>1.3999999999999998E-3</v>
      </c>
      <c r="AO144" s="678">
        <f t="shared" si="104"/>
        <v>2.0999999999999999E-3</v>
      </c>
      <c r="AP144" s="678">
        <f t="shared" si="105"/>
        <v>1.3999999999999998E-3</v>
      </c>
      <c r="AQ144" s="65">
        <f t="shared" si="71"/>
        <v>2.1499999999999998E-2</v>
      </c>
      <c r="AR144" s="65">
        <f>IF(Simulation!$D$42="Oui",Barèmes!$AT144,0)</f>
        <v>1.29E-2</v>
      </c>
      <c r="AS144" s="65">
        <f>IF(Simulation!$D$42="Oui",Barèmes!$AU144,0)</f>
        <v>8.6E-3</v>
      </c>
      <c r="AT144" s="678">
        <f t="shared" si="106"/>
        <v>1.29E-2</v>
      </c>
      <c r="AU144" s="678">
        <f t="shared" si="107"/>
        <v>8.6E-3</v>
      </c>
      <c r="AV144" s="65">
        <f t="shared" si="74"/>
        <v>2.7000000000000003E-2</v>
      </c>
      <c r="AW144" s="65">
        <f>IF(Simulation!$D$42="Oui",Barèmes!$AY144,0)</f>
        <v>1.6200000000000003E-2</v>
      </c>
      <c r="AX144" s="65">
        <f>IF(Simulation!$D$42="Oui",Barèmes!$AZ144,0)</f>
        <v>1.0800000000000001E-2</v>
      </c>
      <c r="AY144" s="678">
        <f t="shared" si="108"/>
        <v>1.6200000000000003E-2</v>
      </c>
      <c r="AZ144" s="678">
        <f t="shared" si="109"/>
        <v>1.0800000000000001E-2</v>
      </c>
      <c r="BA144" s="70">
        <f t="shared" si="70"/>
        <v>79.968181736786008</v>
      </c>
      <c r="BB144" s="70"/>
      <c r="BC144" s="70"/>
      <c r="BD144" s="70">
        <f t="shared" si="70"/>
        <v>5.2009390584053685</v>
      </c>
      <c r="BE144" s="70"/>
      <c r="BF144" s="70"/>
      <c r="BG144" s="71">
        <f t="shared" si="89"/>
        <v>5.1195941810146195</v>
      </c>
      <c r="BH144" s="71"/>
      <c r="BI144" s="71"/>
      <c r="BJ144" s="18">
        <f t="shared" si="62"/>
        <v>8565.9638102098797</v>
      </c>
      <c r="BL144" s="15">
        <v>2096</v>
      </c>
      <c r="BM144" s="22">
        <f>BM143*IF(Simulation!$D$35="SMPT",1+$E144,IF(Simulation!$D$35="PRIX",1+$B144))</f>
        <v>41643.367690554565</v>
      </c>
      <c r="BN144" s="23">
        <f>BN143*IF(Simulation!$D$35="SMPT",1+$E144,IF(Simulation!$D$35="PRIX",1+$B144))</f>
        <v>54441.548539352261</v>
      </c>
      <c r="BO144" s="23">
        <f>BO143*IF(Simulation!$D$35="SMPT",1+$E144,IF(Simulation!$D$35="PRIX",1+$B144))</f>
        <v>84491.355940180176</v>
      </c>
      <c r="BP144" s="5"/>
      <c r="BQ144" s="146">
        <v>0</v>
      </c>
      <c r="BR144" s="146">
        <v>4.2999999999999997E-2</v>
      </c>
      <c r="BS144" s="146">
        <v>7.3999999999999996E-2</v>
      </c>
      <c r="BT144" s="146">
        <v>9.0999999999999998E-2</v>
      </c>
      <c r="BV144" s="15">
        <v>2096</v>
      </c>
      <c r="BW144" s="22">
        <f>BW143*IF(Simulation!$D$35="SMPT",1+$E144,IF(Simulation!$D$35="PRIX",1+$B144))</f>
        <v>63881.393284073019</v>
      </c>
      <c r="BX144" s="23">
        <f>BX143*IF(Simulation!$D$35="SMPT",1+$E144,IF(Simulation!$D$35="PRIX",1+$B144))</f>
        <v>83513.058031601235</v>
      </c>
      <c r="BY144" s="23">
        <f>BY143*IF(Simulation!$D$35="SMPT",1+$E144,IF(Simulation!$D$35="PRIX",1+$B144))</f>
        <v>129602.57069472737</v>
      </c>
      <c r="BZ144" s="5"/>
      <c r="CA144" s="146">
        <v>0</v>
      </c>
      <c r="CB144" s="146">
        <f t="shared" si="94"/>
        <v>4.2999999999999997E-2</v>
      </c>
      <c r="CC144" s="146">
        <f t="shared" si="95"/>
        <v>7.3999999999999996E-2</v>
      </c>
      <c r="CD144" s="146">
        <f t="shared" si="96"/>
        <v>9.0999999999999998E-2</v>
      </c>
      <c r="CE144" s="146">
        <f t="shared" si="96"/>
        <v>3.2000000000000001E-2</v>
      </c>
      <c r="CG144" s="15">
        <v>2096</v>
      </c>
      <c r="CH144" s="317">
        <f t="shared" si="82"/>
        <v>9.1999999999999998E-2</v>
      </c>
      <c r="CI144" s="311">
        <f t="shared" si="83"/>
        <v>6.8000000000000005E-2</v>
      </c>
      <c r="CJ144" s="311">
        <f t="shared" si="84"/>
        <v>5.0000000000000001E-3</v>
      </c>
      <c r="CK144" s="311">
        <f t="shared" si="84"/>
        <v>0.98250000000000004</v>
      </c>
      <c r="CL144" s="313">
        <f t="shared" si="85"/>
        <v>0</v>
      </c>
      <c r="CM144" s="313">
        <v>0</v>
      </c>
      <c r="CN144" s="313">
        <v>0</v>
      </c>
      <c r="CO144" s="318">
        <f t="shared" si="86"/>
        <v>2.4000000000000001E-4</v>
      </c>
    </row>
    <row r="145" spans="1:93" x14ac:dyDescent="0.25">
      <c r="A145" s="15">
        <v>2097</v>
      </c>
      <c r="B145" s="55">
        <f t="shared" si="63"/>
        <v>1.7500000000000002E-2</v>
      </c>
      <c r="C145" s="61">
        <f t="shared" si="90"/>
        <v>3.6738345438205058</v>
      </c>
      <c r="D145" s="21">
        <f t="shared" si="64"/>
        <v>373972.23798593291</v>
      </c>
      <c r="E145" s="57">
        <f t="shared" si="65"/>
        <v>3.0727500000000019E-2</v>
      </c>
      <c r="F145" s="21">
        <f t="shared" si="66"/>
        <v>166255.04723438103</v>
      </c>
      <c r="G145" s="153">
        <f t="shared" si="87"/>
        <v>10.181921277833501</v>
      </c>
      <c r="H145" s="357">
        <f t="shared" si="78"/>
        <v>3.0727500000000019E-2</v>
      </c>
      <c r="I145" s="15">
        <v>2097</v>
      </c>
      <c r="J145" s="13">
        <f t="shared" si="91"/>
        <v>189971.22871841613</v>
      </c>
      <c r="K145" s="65">
        <f t="shared" si="97"/>
        <v>0.17749999999999999</v>
      </c>
      <c r="L145" s="65">
        <f t="shared" si="98"/>
        <v>0.10450000000000001</v>
      </c>
      <c r="M145" s="65">
        <f t="shared" si="75"/>
        <v>7.2999999999999982E-2</v>
      </c>
      <c r="N145" s="65">
        <f t="shared" si="72"/>
        <v>2.3000000000000003E-2</v>
      </c>
      <c r="O145" s="65">
        <f>IF(Simulation!$D$43="Oui",$Q145,0)</f>
        <v>1.9000000000000003E-2</v>
      </c>
      <c r="P145" s="65">
        <f>IF(Simulation!$D$43="Oui",$R145,0)</f>
        <v>4.0000000000000001E-3</v>
      </c>
      <c r="Q145" s="678">
        <f t="shared" ref="Q145:R145" si="119">Q144</f>
        <v>1.9000000000000003E-2</v>
      </c>
      <c r="R145" s="678">
        <f t="shared" si="119"/>
        <v>4.0000000000000001E-3</v>
      </c>
      <c r="S145" s="21">
        <f t="shared" si="67"/>
        <v>13701.853080723578</v>
      </c>
      <c r="T145" s="74">
        <f t="shared" si="68"/>
        <v>1.7500000000000002E-2</v>
      </c>
      <c r="U145" s="74">
        <f t="shared" si="68"/>
        <v>1.7500000000000002E-2</v>
      </c>
      <c r="V145" s="75">
        <f t="shared" si="93"/>
        <v>397665.23629854835</v>
      </c>
      <c r="W145" s="78">
        <f t="shared" si="69"/>
        <v>183058.91705648962</v>
      </c>
      <c r="X145" s="78">
        <f>IF(Simulation!$D$32="SMPT",(1+$E145)*X144,X144*(1+$U145))</f>
        <v>28445.260509538934</v>
      </c>
      <c r="Y145" s="78">
        <f>IF(Simulation!$D$32="SMPT",(1+$E145)*Y144,Y144*(1+$U145))</f>
        <v>31082.885097854152</v>
      </c>
      <c r="Z145" s="78">
        <f t="shared" si="100"/>
        <v>53028.791259558646</v>
      </c>
      <c r="AA145" s="58"/>
      <c r="AB145" s="15">
        <v>2097</v>
      </c>
      <c r="AC145" s="64">
        <f t="shared" si="101"/>
        <v>6.2E-2</v>
      </c>
      <c r="AD145" s="65">
        <f t="shared" si="101"/>
        <v>3.7200000000000004E-2</v>
      </c>
      <c r="AE145" s="65">
        <f t="shared" si="76"/>
        <v>2.4799999999999996E-2</v>
      </c>
      <c r="AF145" s="65">
        <f t="shared" si="102"/>
        <v>0.17</v>
      </c>
      <c r="AG145" s="65">
        <f t="shared" si="102"/>
        <v>0.10200000000000001</v>
      </c>
      <c r="AH145" s="65">
        <f t="shared" si="77"/>
        <v>6.8000000000000005E-2</v>
      </c>
      <c r="AI145" s="66">
        <f t="shared" si="103"/>
        <v>1.27</v>
      </c>
      <c r="AJ145" s="66"/>
      <c r="AK145" s="66"/>
      <c r="AL145" s="65">
        <f t="shared" si="73"/>
        <v>3.4999999999999996E-3</v>
      </c>
      <c r="AM145" s="65">
        <f>IF(Simulation!$D$42="Oui",Barèmes!$AO145,0)</f>
        <v>2.0999999999999999E-3</v>
      </c>
      <c r="AN145" s="65">
        <f>IF(Simulation!$D$42="Oui",Barèmes!$AP145,0)</f>
        <v>1.3999999999999998E-3</v>
      </c>
      <c r="AO145" s="678">
        <f t="shared" si="104"/>
        <v>2.0999999999999999E-3</v>
      </c>
      <c r="AP145" s="678">
        <f t="shared" si="105"/>
        <v>1.3999999999999998E-3</v>
      </c>
      <c r="AQ145" s="65">
        <f t="shared" si="71"/>
        <v>2.1499999999999998E-2</v>
      </c>
      <c r="AR145" s="65">
        <f>IF(Simulation!$D$42="Oui",Barèmes!$AT145,0)</f>
        <v>1.29E-2</v>
      </c>
      <c r="AS145" s="65">
        <f>IF(Simulation!$D$42="Oui",Barèmes!$AU145,0)</f>
        <v>8.6E-3</v>
      </c>
      <c r="AT145" s="678">
        <f t="shared" si="106"/>
        <v>1.29E-2</v>
      </c>
      <c r="AU145" s="678">
        <f t="shared" si="107"/>
        <v>8.6E-3</v>
      </c>
      <c r="AV145" s="65">
        <f t="shared" si="74"/>
        <v>2.7000000000000003E-2</v>
      </c>
      <c r="AW145" s="65">
        <f>IF(Simulation!$D$42="Oui",Barèmes!$AY145,0)</f>
        <v>1.6200000000000003E-2</v>
      </c>
      <c r="AX145" s="65">
        <f>IF(Simulation!$D$42="Oui",Barèmes!$AZ145,0)</f>
        <v>1.0800000000000001E-2</v>
      </c>
      <c r="AY145" s="678">
        <f t="shared" si="108"/>
        <v>1.6200000000000003E-2</v>
      </c>
      <c r="AZ145" s="678">
        <f t="shared" si="109"/>
        <v>1.0800000000000001E-2</v>
      </c>
      <c r="BA145" s="70">
        <f t="shared" si="70"/>
        <v>81.497773132956382</v>
      </c>
      <c r="BB145" s="70"/>
      <c r="BC145" s="70"/>
      <c r="BD145" s="70">
        <f t="shared" si="70"/>
        <v>5.3004200202450171</v>
      </c>
      <c r="BE145" s="70"/>
      <c r="BF145" s="70"/>
      <c r="BG145" s="71">
        <f t="shared" si="89"/>
        <v>5.2175192187119768</v>
      </c>
      <c r="BH145" s="71"/>
      <c r="BI145" s="71"/>
      <c r="BJ145" s="18">
        <f t="shared" si="62"/>
        <v>8729.8092829896686</v>
      </c>
      <c r="BL145" s="15">
        <v>2097</v>
      </c>
      <c r="BM145" s="22">
        <f>BM144*IF(Simulation!$D$35="SMPT",1+$E145,IF(Simulation!$D$35="PRIX",1+$B145))</f>
        <v>42372.126625139274</v>
      </c>
      <c r="BN145" s="23">
        <f>BN144*IF(Simulation!$D$35="SMPT",1+$E145,IF(Simulation!$D$35="PRIX",1+$B145))</f>
        <v>55394.275638790932</v>
      </c>
      <c r="BO145" s="23">
        <f>BO144*IF(Simulation!$D$35="SMPT",1+$E145,IF(Simulation!$D$35="PRIX",1+$B145))</f>
        <v>85969.954669133338</v>
      </c>
      <c r="BP145" s="5"/>
      <c r="BQ145" s="146">
        <v>0</v>
      </c>
      <c r="BR145" s="146">
        <v>4.2999999999999997E-2</v>
      </c>
      <c r="BS145" s="146">
        <v>7.3999999999999996E-2</v>
      </c>
      <c r="BT145" s="146">
        <v>9.0999999999999998E-2</v>
      </c>
      <c r="BV145" s="15">
        <v>2097</v>
      </c>
      <c r="BW145" s="22">
        <f>BW144*IF(Simulation!$D$35="SMPT",1+$E145,IF(Simulation!$D$35="PRIX",1+$B145))</f>
        <v>64999.317666544302</v>
      </c>
      <c r="BX145" s="23">
        <f>BX144*IF(Simulation!$D$35="SMPT",1+$E145,IF(Simulation!$D$35="PRIX",1+$B145))</f>
        <v>84974.536547154261</v>
      </c>
      <c r="BY145" s="23">
        <f>BY144*IF(Simulation!$D$35="SMPT",1+$E145,IF(Simulation!$D$35="PRIX",1+$B145))</f>
        <v>131870.6156818851</v>
      </c>
      <c r="BZ145" s="5"/>
      <c r="CA145" s="146">
        <v>0</v>
      </c>
      <c r="CB145" s="146">
        <f t="shared" si="94"/>
        <v>4.2999999999999997E-2</v>
      </c>
      <c r="CC145" s="146">
        <f t="shared" si="95"/>
        <v>7.3999999999999996E-2</v>
      </c>
      <c r="CD145" s="146">
        <f t="shared" si="96"/>
        <v>9.0999999999999998E-2</v>
      </c>
      <c r="CE145" s="146">
        <f t="shared" si="96"/>
        <v>3.2000000000000001E-2</v>
      </c>
      <c r="CG145" s="15">
        <v>2097</v>
      </c>
      <c r="CH145" s="317">
        <f t="shared" si="82"/>
        <v>9.1999999999999998E-2</v>
      </c>
      <c r="CI145" s="311">
        <f t="shared" si="83"/>
        <v>6.8000000000000005E-2</v>
      </c>
      <c r="CJ145" s="311">
        <f t="shared" si="84"/>
        <v>5.0000000000000001E-3</v>
      </c>
      <c r="CK145" s="311">
        <f t="shared" si="84"/>
        <v>0.98250000000000004</v>
      </c>
      <c r="CL145" s="313">
        <f t="shared" si="85"/>
        <v>0</v>
      </c>
      <c r="CM145" s="313">
        <v>0</v>
      </c>
      <c r="CN145" s="313">
        <v>0</v>
      </c>
      <c r="CO145" s="318">
        <f t="shared" si="86"/>
        <v>2.4000000000000001E-4</v>
      </c>
    </row>
    <row r="146" spans="1:93" x14ac:dyDescent="0.25">
      <c r="A146" s="15">
        <v>2098</v>
      </c>
      <c r="B146" s="55">
        <f t="shared" si="63"/>
        <v>1.7500000000000002E-2</v>
      </c>
      <c r="C146" s="61">
        <f t="shared" si="90"/>
        <v>3.738126648337365</v>
      </c>
      <c r="D146" s="21">
        <f t="shared" si="64"/>
        <v>385463.46992864565</v>
      </c>
      <c r="E146" s="57">
        <f t="shared" si="65"/>
        <v>3.0727500000000019E-2</v>
      </c>
      <c r="F146" s="21">
        <f t="shared" si="66"/>
        <v>171363.64919827547</v>
      </c>
      <c r="G146" s="153">
        <f t="shared" si="87"/>
        <v>10.49478626389813</v>
      </c>
      <c r="H146" s="357">
        <f t="shared" si="78"/>
        <v>3.0727500000000019E-2</v>
      </c>
      <c r="I146" s="15">
        <v>2098</v>
      </c>
      <c r="J146" s="13">
        <f t="shared" si="91"/>
        <v>195808.56964886124</v>
      </c>
      <c r="K146" s="65">
        <f t="shared" si="97"/>
        <v>0.17749999999999999</v>
      </c>
      <c r="L146" s="65">
        <f t="shared" si="98"/>
        <v>0.10450000000000001</v>
      </c>
      <c r="M146" s="65">
        <f t="shared" si="75"/>
        <v>7.2999999999999982E-2</v>
      </c>
      <c r="N146" s="65">
        <f t="shared" si="72"/>
        <v>2.3000000000000003E-2</v>
      </c>
      <c r="O146" s="65">
        <f>IF(Simulation!$D$43="Oui",$Q146,0)</f>
        <v>1.9000000000000003E-2</v>
      </c>
      <c r="P146" s="65">
        <f>IF(Simulation!$D$43="Oui",$R146,0)</f>
        <v>4.0000000000000001E-3</v>
      </c>
      <c r="Q146" s="678">
        <f t="shared" ref="Q146:R146" si="120">Q145</f>
        <v>1.9000000000000003E-2</v>
      </c>
      <c r="R146" s="678">
        <f t="shared" si="120"/>
        <v>4.0000000000000001E-3</v>
      </c>
      <c r="S146" s="21">
        <f t="shared" si="67"/>
        <v>14122.876771261512</v>
      </c>
      <c r="T146" s="74">
        <f t="shared" si="68"/>
        <v>1.7500000000000002E-2</v>
      </c>
      <c r="U146" s="74">
        <f t="shared" si="68"/>
        <v>1.7500000000000002E-2</v>
      </c>
      <c r="V146" s="75">
        <f t="shared" si="93"/>
        <v>409884.49484691198</v>
      </c>
      <c r="W146" s="78">
        <f t="shared" si="69"/>
        <v>188683.85993034291</v>
      </c>
      <c r="X146" s="78">
        <f>IF(Simulation!$D$32="SMPT",(1+$E146)*X145,X145*(1+$U146))</f>
        <v>28943.052568455867</v>
      </c>
      <c r="Y146" s="78">
        <f>IF(Simulation!$D$32="SMPT",(1+$E146)*Y145,Y145*(1+$U146))</f>
        <v>31626.835587066602</v>
      </c>
      <c r="Z146" s="78">
        <f t="shared" si="100"/>
        <v>53956.795106600926</v>
      </c>
      <c r="AA146" s="58"/>
      <c r="AB146" s="15">
        <v>2098</v>
      </c>
      <c r="AC146" s="64">
        <f t="shared" si="101"/>
        <v>6.2E-2</v>
      </c>
      <c r="AD146" s="65">
        <f t="shared" si="101"/>
        <v>3.7200000000000004E-2</v>
      </c>
      <c r="AE146" s="65">
        <f t="shared" si="76"/>
        <v>2.4799999999999996E-2</v>
      </c>
      <c r="AF146" s="65">
        <f t="shared" si="102"/>
        <v>0.17</v>
      </c>
      <c r="AG146" s="65">
        <f t="shared" si="102"/>
        <v>0.10200000000000001</v>
      </c>
      <c r="AH146" s="65">
        <f t="shared" si="77"/>
        <v>6.8000000000000005E-2</v>
      </c>
      <c r="AI146" s="66">
        <f t="shared" si="103"/>
        <v>1.27</v>
      </c>
      <c r="AJ146" s="66"/>
      <c r="AK146" s="66"/>
      <c r="AL146" s="65">
        <f t="shared" si="73"/>
        <v>3.4999999999999996E-3</v>
      </c>
      <c r="AM146" s="65">
        <f>IF(Simulation!$D$42="Oui",Barèmes!$AO146,0)</f>
        <v>2.0999999999999999E-3</v>
      </c>
      <c r="AN146" s="65">
        <f>IF(Simulation!$D$42="Oui",Barèmes!$AP146,0)</f>
        <v>1.3999999999999998E-3</v>
      </c>
      <c r="AO146" s="678">
        <f t="shared" si="104"/>
        <v>2.0999999999999999E-3</v>
      </c>
      <c r="AP146" s="678">
        <f t="shared" si="105"/>
        <v>1.3999999999999998E-3</v>
      </c>
      <c r="AQ146" s="65">
        <f t="shared" si="71"/>
        <v>2.1499999999999998E-2</v>
      </c>
      <c r="AR146" s="65">
        <f>IF(Simulation!$D$42="Oui",Barèmes!$AT146,0)</f>
        <v>1.29E-2</v>
      </c>
      <c r="AS146" s="65">
        <f>IF(Simulation!$D$42="Oui",Barèmes!$AU146,0)</f>
        <v>8.6E-3</v>
      </c>
      <c r="AT146" s="678">
        <f t="shared" si="106"/>
        <v>1.29E-2</v>
      </c>
      <c r="AU146" s="678">
        <f t="shared" si="107"/>
        <v>8.6E-3</v>
      </c>
      <c r="AV146" s="65">
        <f t="shared" si="74"/>
        <v>2.7000000000000003E-2</v>
      </c>
      <c r="AW146" s="65">
        <f>IF(Simulation!$D$42="Oui",Barèmes!$AY146,0)</f>
        <v>1.6200000000000003E-2</v>
      </c>
      <c r="AX146" s="65">
        <f>IF(Simulation!$D$42="Oui",Barèmes!$AZ146,0)</f>
        <v>1.0800000000000001E-2</v>
      </c>
      <c r="AY146" s="678">
        <f t="shared" si="108"/>
        <v>1.6200000000000003E-2</v>
      </c>
      <c r="AZ146" s="678">
        <f t="shared" si="109"/>
        <v>1.0800000000000001E-2</v>
      </c>
      <c r="BA146" s="70">
        <f t="shared" si="70"/>
        <v>83.05662178855701</v>
      </c>
      <c r="BB146" s="70"/>
      <c r="BC146" s="70"/>
      <c r="BD146" s="70">
        <f t="shared" si="70"/>
        <v>5.4018038041822534</v>
      </c>
      <c r="BE146" s="70"/>
      <c r="BF146" s="70"/>
      <c r="BG146" s="71">
        <f t="shared" si="89"/>
        <v>5.3173173175678903</v>
      </c>
      <c r="BH146" s="71"/>
      <c r="BI146" s="71"/>
      <c r="BJ146" s="18">
        <f t="shared" si="62"/>
        <v>8896.7887100500539</v>
      </c>
      <c r="BL146" s="15">
        <v>2098</v>
      </c>
      <c r="BM146" s="22">
        <f>BM145*IF(Simulation!$D$35="SMPT",1+$E146,IF(Simulation!$D$35="PRIX",1+$B146))</f>
        <v>43113.638841079213</v>
      </c>
      <c r="BN146" s="23">
        <f>BN145*IF(Simulation!$D$35="SMPT",1+$E146,IF(Simulation!$D$35="PRIX",1+$B146))</f>
        <v>56363.675462469779</v>
      </c>
      <c r="BO146" s="23">
        <f>BO145*IF(Simulation!$D$35="SMPT",1+$E146,IF(Simulation!$D$35="PRIX",1+$B146))</f>
        <v>87474.428875843179</v>
      </c>
      <c r="BP146" s="5"/>
      <c r="BQ146" s="146">
        <v>0</v>
      </c>
      <c r="BR146" s="146">
        <v>4.2999999999999997E-2</v>
      </c>
      <c r="BS146" s="146">
        <v>7.3999999999999996E-2</v>
      </c>
      <c r="BT146" s="146">
        <v>9.0999999999999998E-2</v>
      </c>
      <c r="BV146" s="15">
        <v>2098</v>
      </c>
      <c r="BW146" s="22">
        <f>BW145*IF(Simulation!$D$35="SMPT",1+$E146,IF(Simulation!$D$35="PRIX",1+$B146))</f>
        <v>66136.805725708837</v>
      </c>
      <c r="BX146" s="23">
        <f>BX145*IF(Simulation!$D$35="SMPT",1+$E146,IF(Simulation!$D$35="PRIX",1+$B146))</f>
        <v>86461.590936729466</v>
      </c>
      <c r="BY146" s="23">
        <f>BY145*IF(Simulation!$D$35="SMPT",1+$E146,IF(Simulation!$D$35="PRIX",1+$B146))</f>
        <v>134178.35145631811</v>
      </c>
      <c r="BZ146" s="5"/>
      <c r="CA146" s="146">
        <v>0</v>
      </c>
      <c r="CB146" s="146">
        <f t="shared" si="94"/>
        <v>4.2999999999999997E-2</v>
      </c>
      <c r="CC146" s="146">
        <f t="shared" si="95"/>
        <v>7.3999999999999996E-2</v>
      </c>
      <c r="CD146" s="146">
        <f t="shared" si="96"/>
        <v>9.0999999999999998E-2</v>
      </c>
      <c r="CE146" s="146">
        <f t="shared" si="96"/>
        <v>3.2000000000000001E-2</v>
      </c>
      <c r="CG146" s="15">
        <v>2098</v>
      </c>
      <c r="CH146" s="317">
        <f t="shared" si="82"/>
        <v>9.1999999999999998E-2</v>
      </c>
      <c r="CI146" s="311">
        <f t="shared" si="83"/>
        <v>6.8000000000000005E-2</v>
      </c>
      <c r="CJ146" s="311">
        <f t="shared" si="84"/>
        <v>5.0000000000000001E-3</v>
      </c>
      <c r="CK146" s="311">
        <f t="shared" si="84"/>
        <v>0.98250000000000004</v>
      </c>
      <c r="CL146" s="313">
        <f t="shared" si="85"/>
        <v>0</v>
      </c>
      <c r="CM146" s="313">
        <v>0</v>
      </c>
      <c r="CN146" s="313">
        <v>0</v>
      </c>
      <c r="CO146" s="318">
        <f t="shared" si="86"/>
        <v>2.4000000000000001E-4</v>
      </c>
    </row>
    <row r="147" spans="1:93" x14ac:dyDescent="0.25">
      <c r="A147" s="15">
        <v>2099</v>
      </c>
      <c r="B147" s="55">
        <f t="shared" si="63"/>
        <v>1.7500000000000002E-2</v>
      </c>
      <c r="C147" s="61">
        <f t="shared" si="90"/>
        <v>3.8035438646832693</v>
      </c>
      <c r="D147" s="21">
        <f t="shared" si="64"/>
        <v>397307.79870087811</v>
      </c>
      <c r="E147" s="57">
        <f t="shared" si="65"/>
        <v>3.0727500000000019E-2</v>
      </c>
      <c r="F147" s="21">
        <f t="shared" si="66"/>
        <v>176629.22572901548</v>
      </c>
      <c r="G147" s="153">
        <f t="shared" si="87"/>
        <v>10.81726480882206</v>
      </c>
      <c r="H147" s="357">
        <f t="shared" si="78"/>
        <v>3.0727500000000019E-2</v>
      </c>
      <c r="I147" s="15">
        <v>2099</v>
      </c>
      <c r="J147" s="13">
        <f t="shared" si="91"/>
        <v>201825.27747274665</v>
      </c>
      <c r="K147" s="65">
        <f t="shared" si="97"/>
        <v>0.17749999999999999</v>
      </c>
      <c r="L147" s="65">
        <f t="shared" si="98"/>
        <v>0.10450000000000001</v>
      </c>
      <c r="M147" s="65">
        <f t="shared" si="75"/>
        <v>7.2999999999999982E-2</v>
      </c>
      <c r="N147" s="65">
        <f t="shared" si="72"/>
        <v>2.3000000000000003E-2</v>
      </c>
      <c r="O147" s="65">
        <f>IF(Simulation!$D$43="Oui",$Q147,0)</f>
        <v>1.9000000000000003E-2</v>
      </c>
      <c r="P147" s="65">
        <f>IF(Simulation!$D$43="Oui",$R147,0)</f>
        <v>4.0000000000000001E-3</v>
      </c>
      <c r="Q147" s="678">
        <f t="shared" ref="Q147:R147" si="121">Q146</f>
        <v>1.9000000000000003E-2</v>
      </c>
      <c r="R147" s="678">
        <f t="shared" si="121"/>
        <v>4.0000000000000001E-3</v>
      </c>
      <c r="S147" s="21">
        <f t="shared" si="67"/>
        <v>14556.837467250451</v>
      </c>
      <c r="T147" s="74">
        <f t="shared" si="68"/>
        <v>1.7500000000000002E-2</v>
      </c>
      <c r="U147" s="74">
        <f t="shared" si="68"/>
        <v>1.7500000000000002E-2</v>
      </c>
      <c r="V147" s="75">
        <f t="shared" si="93"/>
        <v>422479.2206623205</v>
      </c>
      <c r="W147" s="78">
        <f t="shared" si="69"/>
        <v>194481.64323635251</v>
      </c>
      <c r="X147" s="78">
        <f>IF(Simulation!$D$32="SMPT",(1+$E147)*X146,X146*(1+$U147))</f>
        <v>29449.555988403848</v>
      </c>
      <c r="Y147" s="78">
        <f>IF(Simulation!$D$32="SMPT",(1+$E147)*Y146,Y146*(1+$U147))</f>
        <v>32180.30520984027</v>
      </c>
      <c r="Z147" s="78">
        <f t="shared" si="100"/>
        <v>54901.039020966447</v>
      </c>
      <c r="AA147" s="285"/>
      <c r="AB147" s="15">
        <v>2099</v>
      </c>
      <c r="AC147" s="64">
        <f t="shared" si="101"/>
        <v>6.2E-2</v>
      </c>
      <c r="AD147" s="65">
        <f t="shared" si="101"/>
        <v>3.7200000000000004E-2</v>
      </c>
      <c r="AE147" s="65">
        <f t="shared" si="76"/>
        <v>2.4799999999999996E-2</v>
      </c>
      <c r="AF147" s="65">
        <f t="shared" si="102"/>
        <v>0.17</v>
      </c>
      <c r="AG147" s="65">
        <f t="shared" si="102"/>
        <v>0.10200000000000001</v>
      </c>
      <c r="AH147" s="65">
        <f t="shared" si="77"/>
        <v>6.8000000000000005E-2</v>
      </c>
      <c r="AI147" s="66">
        <f t="shared" si="103"/>
        <v>1.27</v>
      </c>
      <c r="AJ147" s="66"/>
      <c r="AK147" s="66"/>
      <c r="AL147" s="65">
        <f t="shared" si="73"/>
        <v>3.4999999999999996E-3</v>
      </c>
      <c r="AM147" s="65">
        <f>IF(Simulation!$D$42="Oui",Barèmes!$AO147,0)</f>
        <v>2.0999999999999999E-3</v>
      </c>
      <c r="AN147" s="65">
        <f>IF(Simulation!$D$42="Oui",Barèmes!$AP147,0)</f>
        <v>1.3999999999999998E-3</v>
      </c>
      <c r="AO147" s="678">
        <f t="shared" si="104"/>
        <v>2.0999999999999999E-3</v>
      </c>
      <c r="AP147" s="678">
        <f t="shared" si="105"/>
        <v>1.3999999999999998E-3</v>
      </c>
      <c r="AQ147" s="65">
        <f t="shared" si="71"/>
        <v>2.1499999999999998E-2</v>
      </c>
      <c r="AR147" s="65">
        <f>IF(Simulation!$D$42="Oui",Barèmes!$AT147,0)</f>
        <v>1.29E-2</v>
      </c>
      <c r="AS147" s="65">
        <f>IF(Simulation!$D$42="Oui",Barèmes!$AU147,0)</f>
        <v>8.6E-3</v>
      </c>
      <c r="AT147" s="678">
        <f t="shared" si="106"/>
        <v>1.29E-2</v>
      </c>
      <c r="AU147" s="678">
        <f t="shared" si="107"/>
        <v>8.6E-3</v>
      </c>
      <c r="AV147" s="65">
        <f t="shared" si="74"/>
        <v>2.7000000000000003E-2</v>
      </c>
      <c r="AW147" s="65">
        <f>IF(Simulation!$D$42="Oui",Barèmes!$AY147,0)</f>
        <v>1.6200000000000003E-2</v>
      </c>
      <c r="AX147" s="65">
        <f>IF(Simulation!$D$42="Oui",Barèmes!$AZ147,0)</f>
        <v>1.0800000000000001E-2</v>
      </c>
      <c r="AY147" s="678">
        <f t="shared" si="108"/>
        <v>1.6200000000000003E-2</v>
      </c>
      <c r="AZ147" s="678">
        <f t="shared" si="109"/>
        <v>1.0800000000000001E-2</v>
      </c>
      <c r="BA147" s="70">
        <f t="shared" si="70"/>
        <v>84.645287321817634</v>
      </c>
      <c r="BB147" s="70"/>
      <c r="BC147" s="70"/>
      <c r="BD147" s="70">
        <f t="shared" si="70"/>
        <v>5.5051268064467491</v>
      </c>
      <c r="BE147" s="70"/>
      <c r="BF147" s="70"/>
      <c r="BG147" s="71">
        <f t="shared" si="89"/>
        <v>5.4190243045596693</v>
      </c>
      <c r="BH147" s="71"/>
      <c r="BI147" s="71"/>
      <c r="BJ147" s="18">
        <f t="shared" si="62"/>
        <v>9066.962036101535</v>
      </c>
      <c r="BL147" s="15">
        <v>2099</v>
      </c>
      <c r="BM147" s="22">
        <f>BM146*IF(Simulation!$D$35="SMPT",1+$E147,IF(Simulation!$D$35="PRIX",1+$B147))</f>
        <v>43868.127520798102</v>
      </c>
      <c r="BN147" s="23">
        <f>BN146*IF(Simulation!$D$35="SMPT",1+$E147,IF(Simulation!$D$35="PRIX",1+$B147))</f>
        <v>57350.039783063003</v>
      </c>
      <c r="BO147" s="23">
        <f>BO146*IF(Simulation!$D$35="SMPT",1+$E147,IF(Simulation!$D$35="PRIX",1+$B147))</f>
        <v>89005.231381170437</v>
      </c>
      <c r="BP147" s="5"/>
      <c r="BQ147" s="146">
        <v>0</v>
      </c>
      <c r="BR147" s="146">
        <v>4.2999999999999997E-2</v>
      </c>
      <c r="BS147" s="146">
        <v>7.3999999999999996E-2</v>
      </c>
      <c r="BT147" s="146">
        <v>9.0999999999999998E-2</v>
      </c>
      <c r="BV147" s="15">
        <v>2099</v>
      </c>
      <c r="BW147" s="22">
        <f>BW146*IF(Simulation!$D$35="SMPT",1+$E147,IF(Simulation!$D$35="PRIX",1+$B147))</f>
        <v>67294.199825908741</v>
      </c>
      <c r="BX147" s="23">
        <f>BX146*IF(Simulation!$D$35="SMPT",1+$E147,IF(Simulation!$D$35="PRIX",1+$B147))</f>
        <v>87974.668778122243</v>
      </c>
      <c r="BY147" s="23">
        <f>BY146*IF(Simulation!$D$35="SMPT",1+$E147,IF(Simulation!$D$35="PRIX",1+$B147))</f>
        <v>136526.4726068037</v>
      </c>
      <c r="BZ147" s="5"/>
      <c r="CA147" s="146">
        <v>0</v>
      </c>
      <c r="CB147" s="146">
        <f t="shared" si="94"/>
        <v>4.2999999999999997E-2</v>
      </c>
      <c r="CC147" s="146">
        <f t="shared" si="95"/>
        <v>7.3999999999999996E-2</v>
      </c>
      <c r="CD147" s="146">
        <f t="shared" si="96"/>
        <v>9.0999999999999998E-2</v>
      </c>
      <c r="CE147" s="146">
        <f t="shared" si="96"/>
        <v>3.2000000000000001E-2</v>
      </c>
      <c r="CG147" s="15">
        <v>2099</v>
      </c>
      <c r="CH147" s="317">
        <f t="shared" si="82"/>
        <v>9.1999999999999998E-2</v>
      </c>
      <c r="CI147" s="311">
        <f t="shared" si="83"/>
        <v>6.8000000000000005E-2</v>
      </c>
      <c r="CJ147" s="311">
        <f t="shared" si="84"/>
        <v>5.0000000000000001E-3</v>
      </c>
      <c r="CK147" s="311">
        <f t="shared" si="84"/>
        <v>0.98250000000000004</v>
      </c>
      <c r="CL147" s="313">
        <f t="shared" si="85"/>
        <v>0</v>
      </c>
      <c r="CM147" s="313">
        <v>0</v>
      </c>
      <c r="CN147" s="313">
        <v>0</v>
      </c>
      <c r="CO147" s="318">
        <f t="shared" si="86"/>
        <v>2.4000000000000001E-4</v>
      </c>
    </row>
    <row r="148" spans="1:93" x14ac:dyDescent="0.25">
      <c r="A148" s="15">
        <v>2100</v>
      </c>
      <c r="B148" s="55">
        <f t="shared" si="63"/>
        <v>1.7500000000000002E-2</v>
      </c>
      <c r="C148" s="61">
        <f t="shared" si="90"/>
        <v>3.8701058823152268</v>
      </c>
      <c r="D148" s="21">
        <f t="shared" si="64"/>
        <v>409516.07408545935</v>
      </c>
      <c r="E148" s="57">
        <f t="shared" si="65"/>
        <v>3.0727500000000019E-2</v>
      </c>
      <c r="F148" s="21">
        <f t="shared" si="66"/>
        <v>182056.60026260381</v>
      </c>
      <c r="G148" s="153">
        <f t="shared" si="87"/>
        <v>11.149652313235141</v>
      </c>
      <c r="H148" s="357">
        <f t="shared" si="78"/>
        <v>3.0727500000000019E-2</v>
      </c>
      <c r="I148" s="15">
        <v>2100</v>
      </c>
      <c r="J148" s="13">
        <f t="shared" si="91"/>
        <v>208026.86368629048</v>
      </c>
      <c r="K148" s="65">
        <f t="shared" si="97"/>
        <v>0.17749999999999999</v>
      </c>
      <c r="L148" s="65">
        <f t="shared" si="98"/>
        <v>0.10450000000000001</v>
      </c>
      <c r="M148" s="65">
        <f t="shared" si="75"/>
        <v>7.2999999999999982E-2</v>
      </c>
      <c r="N148" s="65">
        <f t="shared" si="72"/>
        <v>2.3000000000000003E-2</v>
      </c>
      <c r="O148" s="65">
        <f>IF(Simulation!$D$43="Oui",$Q148,0)</f>
        <v>1.9000000000000003E-2</v>
      </c>
      <c r="P148" s="65">
        <f>IF(Simulation!$D$43="Oui",$R148,0)</f>
        <v>4.0000000000000001E-3</v>
      </c>
      <c r="Q148" s="678">
        <f t="shared" ref="Q148:R148" si="122">Q147</f>
        <v>1.9000000000000003E-2</v>
      </c>
      <c r="R148" s="678">
        <f t="shared" si="122"/>
        <v>4.0000000000000001E-3</v>
      </c>
      <c r="S148" s="21">
        <f t="shared" si="67"/>
        <v>15004.132690525388</v>
      </c>
      <c r="T148" s="74">
        <f t="shared" si="68"/>
        <v>1.7500000000000002E-2</v>
      </c>
      <c r="U148" s="74">
        <f t="shared" si="68"/>
        <v>1.7500000000000002E-2</v>
      </c>
      <c r="V148" s="75">
        <f t="shared" si="93"/>
        <v>435460.95091522194</v>
      </c>
      <c r="W148" s="78">
        <f t="shared" si="69"/>
        <v>200457.57792889755</v>
      </c>
      <c r="X148" s="78">
        <f>IF(Simulation!$D$32="SMPT",(1+$E148)*X147,X147*(1+$U148))</f>
        <v>29964.923218200918</v>
      </c>
      <c r="Y148" s="78">
        <f>IF(Simulation!$D$32="SMPT",(1+$E148)*Y147,Y147*(1+$U148))</f>
        <v>32743.460551012475</v>
      </c>
      <c r="Z148" s="78">
        <f t="shared" si="100"/>
        <v>55861.807203833363</v>
      </c>
      <c r="AA148" s="285"/>
      <c r="AB148" s="15">
        <v>2100</v>
      </c>
      <c r="AC148" s="64">
        <f t="shared" si="101"/>
        <v>6.2E-2</v>
      </c>
      <c r="AD148" s="65">
        <f t="shared" si="101"/>
        <v>3.7200000000000004E-2</v>
      </c>
      <c r="AE148" s="65">
        <f t="shared" si="76"/>
        <v>2.4799999999999996E-2</v>
      </c>
      <c r="AF148" s="65">
        <f t="shared" si="102"/>
        <v>0.17</v>
      </c>
      <c r="AG148" s="65">
        <f t="shared" si="102"/>
        <v>0.10200000000000001</v>
      </c>
      <c r="AH148" s="65">
        <f t="shared" si="77"/>
        <v>6.8000000000000005E-2</v>
      </c>
      <c r="AI148" s="66">
        <f t="shared" si="103"/>
        <v>1.27</v>
      </c>
      <c r="AJ148" s="66"/>
      <c r="AK148" s="66"/>
      <c r="AL148" s="65">
        <f t="shared" si="73"/>
        <v>3.4999999999999996E-3</v>
      </c>
      <c r="AM148" s="65">
        <f>IF(Simulation!$D$42="Oui",Barèmes!$AO148,0)</f>
        <v>2.0999999999999999E-3</v>
      </c>
      <c r="AN148" s="65">
        <f>IF(Simulation!$D$42="Oui",Barèmes!$AP148,0)</f>
        <v>1.3999999999999998E-3</v>
      </c>
      <c r="AO148" s="678">
        <f t="shared" si="104"/>
        <v>2.0999999999999999E-3</v>
      </c>
      <c r="AP148" s="678">
        <f t="shared" si="105"/>
        <v>1.3999999999999998E-3</v>
      </c>
      <c r="AQ148" s="65">
        <f t="shared" si="71"/>
        <v>2.1499999999999998E-2</v>
      </c>
      <c r="AR148" s="65">
        <f>IF(Simulation!$D$42="Oui",Barèmes!$AT148,0)</f>
        <v>1.29E-2</v>
      </c>
      <c r="AS148" s="65">
        <f>IF(Simulation!$D$42="Oui",Barèmes!$AU148,0)</f>
        <v>8.6E-3</v>
      </c>
      <c r="AT148" s="678">
        <f t="shared" si="106"/>
        <v>1.29E-2</v>
      </c>
      <c r="AU148" s="678">
        <f t="shared" si="107"/>
        <v>8.6E-3</v>
      </c>
      <c r="AV148" s="65">
        <f t="shared" si="74"/>
        <v>2.7000000000000003E-2</v>
      </c>
      <c r="AW148" s="65">
        <f>IF(Simulation!$D$42="Oui",Barèmes!$AY148,0)</f>
        <v>1.6200000000000003E-2</v>
      </c>
      <c r="AX148" s="65">
        <f>IF(Simulation!$D$42="Oui",Barèmes!$AZ148,0)</f>
        <v>1.0800000000000001E-2</v>
      </c>
      <c r="AY148" s="678">
        <f t="shared" si="108"/>
        <v>1.6200000000000003E-2</v>
      </c>
      <c r="AZ148" s="678">
        <f t="shared" si="109"/>
        <v>1.0800000000000001E-2</v>
      </c>
      <c r="BA148" s="70">
        <f t="shared" si="70"/>
        <v>86.264340055065702</v>
      </c>
      <c r="BB148" s="70"/>
      <c r="BC148" s="70"/>
      <c r="BD148" s="70">
        <f t="shared" si="70"/>
        <v>5.6104261194370588</v>
      </c>
      <c r="BE148" s="70"/>
      <c r="BF148" s="70"/>
      <c r="BG148" s="71">
        <f t="shared" si="89"/>
        <v>5.5226766919451347</v>
      </c>
      <c r="BH148" s="71"/>
      <c r="BI148" s="71"/>
      <c r="BJ148" s="18">
        <f t="shared" si="62"/>
        <v>9240.3903524470661</v>
      </c>
      <c r="BL148" s="15">
        <v>2100</v>
      </c>
      <c r="BM148" s="22">
        <f>BM147*IF(Simulation!$D$35="SMPT",1+$E148,IF(Simulation!$D$35="PRIX",1+$B148))</f>
        <v>44635.81975241207</v>
      </c>
      <c r="BN148" s="23">
        <f>BN147*IF(Simulation!$D$35="SMPT",1+$E148,IF(Simulation!$D$35="PRIX",1+$B148))</f>
        <v>58353.665479266609</v>
      </c>
      <c r="BO148" s="23">
        <f>BO147*IF(Simulation!$D$35="SMPT",1+$E148,IF(Simulation!$D$35="PRIX",1+$B148))</f>
        <v>90562.822930340932</v>
      </c>
      <c r="BP148" s="5"/>
      <c r="BQ148" s="146">
        <v>0</v>
      </c>
      <c r="BR148" s="146">
        <v>4.2999999999999997E-2</v>
      </c>
      <c r="BS148" s="146">
        <v>7.3999999999999996E-2</v>
      </c>
      <c r="BT148" s="146">
        <v>9.0999999999999998E-2</v>
      </c>
      <c r="BV148" s="15">
        <v>2100</v>
      </c>
      <c r="BW148" s="22">
        <f>BW147*IF(Simulation!$D$35="SMPT",1+$E148,IF(Simulation!$D$35="PRIX",1+$B148))</f>
        <v>68471.848322862148</v>
      </c>
      <c r="BX148" s="23">
        <f>BX147*IF(Simulation!$D$35="SMPT",1+$E148,IF(Simulation!$D$35="PRIX",1+$B148))</f>
        <v>89514.225481739384</v>
      </c>
      <c r="BY148" s="23">
        <f>BY147*IF(Simulation!$D$35="SMPT",1+$E148,IF(Simulation!$D$35="PRIX",1+$B148))</f>
        <v>138915.68587742277</v>
      </c>
      <c r="BZ148" s="5"/>
      <c r="CA148" s="146">
        <v>0</v>
      </c>
      <c r="CB148" s="146">
        <f t="shared" si="94"/>
        <v>4.2999999999999997E-2</v>
      </c>
      <c r="CC148" s="146">
        <f t="shared" si="95"/>
        <v>7.3999999999999996E-2</v>
      </c>
      <c r="CD148" s="146">
        <f t="shared" si="96"/>
        <v>9.0999999999999998E-2</v>
      </c>
      <c r="CE148" s="146">
        <f t="shared" si="96"/>
        <v>3.2000000000000001E-2</v>
      </c>
      <c r="CG148" s="15">
        <v>2100</v>
      </c>
      <c r="CH148" s="317">
        <f t="shared" ref="CH148" si="123">CH147</f>
        <v>9.1999999999999998E-2</v>
      </c>
      <c r="CI148" s="311">
        <f t="shared" ref="CI148" si="124">CI147</f>
        <v>6.8000000000000005E-2</v>
      </c>
      <c r="CJ148" s="311">
        <f t="shared" ref="CJ148:CK148" si="125">CJ147</f>
        <v>5.0000000000000001E-3</v>
      </c>
      <c r="CK148" s="311">
        <f t="shared" si="125"/>
        <v>0.98250000000000004</v>
      </c>
      <c r="CL148" s="313">
        <f t="shared" si="85"/>
        <v>0</v>
      </c>
      <c r="CM148" s="313">
        <v>0</v>
      </c>
      <c r="CN148" s="313">
        <v>0</v>
      </c>
      <c r="CO148" s="318">
        <f t="shared" si="86"/>
        <v>2.4000000000000001E-4</v>
      </c>
    </row>
    <row r="149" spans="1:93" x14ac:dyDescent="0.25">
      <c r="AA149" s="45"/>
      <c r="BM149" s="5"/>
      <c r="BN149" s="5"/>
      <c r="BP149" s="5"/>
      <c r="BQ149" s="5"/>
      <c r="BR149" s="5"/>
      <c r="BW149" s="5"/>
      <c r="BX149" s="5"/>
      <c r="BZ149" s="5"/>
      <c r="CA149" s="5"/>
      <c r="CB149" s="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K878"/>
  <sheetViews>
    <sheetView showGridLines="0" workbookViewId="0">
      <selection activeCell="A22" sqref="A1:XFD1048576"/>
    </sheetView>
  </sheetViews>
  <sheetFormatPr baseColWidth="10" defaultRowHeight="15.75" customHeight="1" x14ac:dyDescent="0.25"/>
  <cols>
    <col min="1" max="1" width="1.5703125" customWidth="1"/>
    <col min="2" max="2" width="11.140625" style="4" customWidth="1"/>
    <col min="3" max="3" width="18.42578125" style="16" customWidth="1"/>
    <col min="4" max="11" width="18.42578125" customWidth="1"/>
  </cols>
  <sheetData>
    <row r="1" spans="2:11" ht="15.75" customHeight="1" x14ac:dyDescent="0.25">
      <c r="B1" s="27" t="s">
        <v>89</v>
      </c>
      <c r="D1" s="1" t="s">
        <v>41</v>
      </c>
      <c r="E1" s="1" t="s">
        <v>42</v>
      </c>
    </row>
    <row r="2" spans="2:11" ht="15.75" customHeight="1" x14ac:dyDescent="0.25">
      <c r="B2" s="27"/>
      <c r="D2" s="1"/>
    </row>
    <row r="3" spans="2:11" ht="15.75" customHeight="1" thickBot="1" x14ac:dyDescent="0.3">
      <c r="B3" s="83" t="s">
        <v>48</v>
      </c>
    </row>
    <row r="4" spans="2:11" ht="29.25" customHeight="1" thickBot="1" x14ac:dyDescent="0.3">
      <c r="B4" s="89" t="s">
        <v>35</v>
      </c>
      <c r="C4" s="72" t="s">
        <v>43</v>
      </c>
      <c r="D4" s="72" t="s">
        <v>82</v>
      </c>
      <c r="E4" s="72" t="s">
        <v>186</v>
      </c>
      <c r="F4" s="72" t="s">
        <v>44</v>
      </c>
      <c r="G4" s="72" t="s">
        <v>45</v>
      </c>
      <c r="H4" s="72" t="s">
        <v>187</v>
      </c>
      <c r="I4" s="72" t="s">
        <v>46</v>
      </c>
      <c r="J4" s="72" t="s">
        <v>47</v>
      </c>
      <c r="K4" s="84" t="s">
        <v>188</v>
      </c>
    </row>
    <row r="5" spans="2:11" ht="15.75" customHeight="1" x14ac:dyDescent="0.25">
      <c r="B5" s="30">
        <v>60</v>
      </c>
      <c r="C5" s="50">
        <v>29.41725135662179</v>
      </c>
      <c r="D5" s="50">
        <v>31.888267788319379</v>
      </c>
      <c r="E5" s="50">
        <v>30.652759572470586</v>
      </c>
      <c r="F5" s="50">
        <v>32.408820798921795</v>
      </c>
      <c r="G5" s="50">
        <v>33.824500309619381</v>
      </c>
      <c r="H5" s="50">
        <v>33.116660554270588</v>
      </c>
      <c r="I5" s="50">
        <v>28.034827303321791</v>
      </c>
      <c r="J5" s="50">
        <v>31.360732266219379</v>
      </c>
      <c r="K5" s="85">
        <v>29.697779784770585</v>
      </c>
    </row>
    <row r="6" spans="2:11" ht="15.75" customHeight="1" x14ac:dyDescent="0.25">
      <c r="B6" s="33">
        <v>61</v>
      </c>
      <c r="C6" s="51">
        <v>28.534346976710772</v>
      </c>
      <c r="D6" s="51">
        <v>30.963442765777206</v>
      </c>
      <c r="E6" s="51">
        <v>29.748894871243991</v>
      </c>
      <c r="F6" s="51">
        <v>31.430569235910774</v>
      </c>
      <c r="G6" s="51">
        <v>32.861577122577202</v>
      </c>
      <c r="H6" s="51">
        <v>32.146073179243984</v>
      </c>
      <c r="I6" s="51">
        <v>27.190809062310773</v>
      </c>
      <c r="J6" s="51">
        <v>30.443289691977203</v>
      </c>
      <c r="K6" s="86">
        <v>28.817049377143988</v>
      </c>
    </row>
    <row r="7" spans="2:11" ht="15.75" customHeight="1" x14ac:dyDescent="0.25">
      <c r="B7" s="33">
        <v>62</v>
      </c>
      <c r="C7" s="51">
        <v>27.655420561281364</v>
      </c>
      <c r="D7" s="51">
        <v>30.041184801276568</v>
      </c>
      <c r="E7" s="51">
        <v>28.848302681278966</v>
      </c>
      <c r="F7" s="51">
        <v>30.456045077581365</v>
      </c>
      <c r="G7" s="51">
        <v>31.900977059176569</v>
      </c>
      <c r="H7" s="51">
        <v>31.178511068378967</v>
      </c>
      <c r="I7" s="51">
        <v>26.351087132281364</v>
      </c>
      <c r="J7" s="51">
        <v>29.528044104376566</v>
      </c>
      <c r="K7" s="86">
        <v>27.939565618328963</v>
      </c>
    </row>
    <row r="8" spans="2:11" ht="15.75" customHeight="1" x14ac:dyDescent="0.25">
      <c r="B8" s="33">
        <v>63</v>
      </c>
      <c r="C8" s="51">
        <v>26.778400362424165</v>
      </c>
      <c r="D8" s="51">
        <v>29.120756871737068</v>
      </c>
      <c r="E8" s="51">
        <v>27.949578617080618</v>
      </c>
      <c r="F8" s="51">
        <v>29.483669369224163</v>
      </c>
      <c r="G8" s="51">
        <v>30.942438846437071</v>
      </c>
      <c r="H8" s="51">
        <v>30.213054107830615</v>
      </c>
      <c r="I8" s="51">
        <v>25.513364676024164</v>
      </c>
      <c r="J8" s="51">
        <v>28.61416750723707</v>
      </c>
      <c r="K8" s="86">
        <v>27.063766091630619</v>
      </c>
    </row>
    <row r="9" spans="2:11" ht="15.75" customHeight="1" x14ac:dyDescent="0.25">
      <c r="B9" s="33">
        <v>64</v>
      </c>
      <c r="C9" s="51">
        <v>25.904039005894205</v>
      </c>
      <c r="D9" s="51">
        <v>28.202547136873974</v>
      </c>
      <c r="E9" s="51">
        <v>27.05329307138409</v>
      </c>
      <c r="F9" s="51">
        <v>28.514491336594208</v>
      </c>
      <c r="G9" s="51">
        <v>29.985563110473976</v>
      </c>
      <c r="H9" s="51">
        <v>29.25002722353409</v>
      </c>
      <c r="I9" s="51">
        <v>24.678246219594207</v>
      </c>
      <c r="J9" s="51">
        <v>27.702171748073976</v>
      </c>
      <c r="K9" s="86">
        <v>26.19020898383409</v>
      </c>
    </row>
    <row r="10" spans="2:11" ht="15.75" customHeight="1" x14ac:dyDescent="0.25">
      <c r="B10" s="33">
        <v>65</v>
      </c>
      <c r="C10" s="52">
        <v>25.030724825547217</v>
      </c>
      <c r="D10" s="52">
        <v>27.287084961207881</v>
      </c>
      <c r="E10" s="52">
        <v>26.158904893377549</v>
      </c>
      <c r="F10" s="52">
        <v>27.546212706547216</v>
      </c>
      <c r="G10" s="52">
        <v>29.031798480207879</v>
      </c>
      <c r="H10" s="52">
        <v>28.289005593377546</v>
      </c>
      <c r="I10" s="52">
        <v>23.844381931847217</v>
      </c>
      <c r="J10" s="52">
        <v>26.792426171307881</v>
      </c>
      <c r="K10" s="87">
        <v>25.318404051577549</v>
      </c>
    </row>
    <row r="11" spans="2:11" ht="15.75" customHeight="1" x14ac:dyDescent="0.25">
      <c r="B11" s="33">
        <v>66</v>
      </c>
      <c r="C11" s="52">
        <v>24.161778497102826</v>
      </c>
      <c r="D11" s="52">
        <v>26.37468278833207</v>
      </c>
      <c r="E11" s="52">
        <v>25.268230642717448</v>
      </c>
      <c r="F11" s="52">
        <v>26.581274383002825</v>
      </c>
      <c r="G11" s="52">
        <v>28.080176488332071</v>
      </c>
      <c r="H11" s="52">
        <v>27.330725435667446</v>
      </c>
      <c r="I11" s="52">
        <v>23.015444975402826</v>
      </c>
      <c r="J11" s="52">
        <v>25.88541261503207</v>
      </c>
      <c r="K11" s="87">
        <v>24.450428795217448</v>
      </c>
    </row>
    <row r="12" spans="2:11" ht="15.75" customHeight="1" thickBot="1" x14ac:dyDescent="0.3">
      <c r="B12" s="36">
        <v>67</v>
      </c>
      <c r="C12" s="53">
        <v>23.296508796181108</v>
      </c>
      <c r="D12" s="53">
        <v>25.465366369906292</v>
      </c>
      <c r="E12" s="53">
        <v>24.3809375830437</v>
      </c>
      <c r="F12" s="53">
        <v>25.620089854881108</v>
      </c>
      <c r="G12" s="53">
        <v>27.13105703600629</v>
      </c>
      <c r="H12" s="53">
        <v>26.375573445443699</v>
      </c>
      <c r="I12" s="53">
        <v>22.190270404481108</v>
      </c>
      <c r="J12" s="53">
        <v>24.981069409006292</v>
      </c>
      <c r="K12" s="88">
        <v>23.5856699067437</v>
      </c>
    </row>
    <row r="13" spans="2:11" ht="15.75" customHeight="1" x14ac:dyDescent="0.25">
      <c r="B13" s="46"/>
      <c r="C13" s="82"/>
      <c r="D13" s="82"/>
      <c r="E13" s="82"/>
      <c r="F13" s="82"/>
      <c r="G13" s="82"/>
      <c r="H13" s="82"/>
      <c r="I13" s="82"/>
      <c r="J13" s="82"/>
      <c r="K13" s="82"/>
    </row>
    <row r="14" spans="2:11" ht="15.75" customHeight="1" thickBot="1" x14ac:dyDescent="0.3">
      <c r="B14" s="83" t="s">
        <v>29</v>
      </c>
    </row>
    <row r="15" spans="2:11" ht="29.25" customHeight="1" thickBot="1" x14ac:dyDescent="0.3">
      <c r="B15" s="89" t="s">
        <v>35</v>
      </c>
      <c r="C15" s="84" t="s">
        <v>83</v>
      </c>
      <c r="D15" s="72" t="s">
        <v>84</v>
      </c>
      <c r="E15" s="72" t="s">
        <v>189</v>
      </c>
      <c r="F15" s="84" t="s">
        <v>85</v>
      </c>
      <c r="G15" s="72" t="s">
        <v>86</v>
      </c>
      <c r="H15" s="72" t="s">
        <v>190</v>
      </c>
      <c r="I15" s="84" t="s">
        <v>87</v>
      </c>
      <c r="J15" s="72" t="s">
        <v>88</v>
      </c>
      <c r="K15" s="90" t="s">
        <v>191</v>
      </c>
    </row>
    <row r="16" spans="2:11" ht="15.75" customHeight="1" x14ac:dyDescent="0.25">
      <c r="B16" s="30">
        <v>60</v>
      </c>
      <c r="C16" s="85">
        <f t="shared" ref="C16:K16" si="0">C5+$B5</f>
        <v>89.41725135662179</v>
      </c>
      <c r="D16" s="31">
        <f t="shared" si="0"/>
        <v>91.888267788319382</v>
      </c>
      <c r="E16" s="31">
        <f t="shared" si="0"/>
        <v>90.652759572470586</v>
      </c>
      <c r="F16" s="31">
        <f t="shared" si="0"/>
        <v>92.408820798921795</v>
      </c>
      <c r="G16" s="31">
        <f t="shared" si="0"/>
        <v>93.824500309619381</v>
      </c>
      <c r="H16" s="31">
        <f t="shared" si="0"/>
        <v>93.116660554270595</v>
      </c>
      <c r="I16" s="31">
        <f t="shared" si="0"/>
        <v>88.034827303321791</v>
      </c>
      <c r="J16" s="31">
        <f t="shared" si="0"/>
        <v>91.360732266219372</v>
      </c>
      <c r="K16" s="85">
        <f t="shared" si="0"/>
        <v>89.697779784770589</v>
      </c>
    </row>
    <row r="17" spans="2:11" ht="15.75" customHeight="1" x14ac:dyDescent="0.25">
      <c r="B17" s="33">
        <v>61</v>
      </c>
      <c r="C17" s="86">
        <f t="shared" ref="C17:K17" si="1">C6+$B6</f>
        <v>89.534346976710765</v>
      </c>
      <c r="D17" s="34">
        <f t="shared" si="1"/>
        <v>91.963442765777202</v>
      </c>
      <c r="E17" s="34">
        <f t="shared" si="1"/>
        <v>90.748894871243991</v>
      </c>
      <c r="F17" s="34">
        <f t="shared" si="1"/>
        <v>92.430569235910781</v>
      </c>
      <c r="G17" s="34">
        <f t="shared" si="1"/>
        <v>93.861577122577202</v>
      </c>
      <c r="H17" s="34">
        <f t="shared" si="1"/>
        <v>93.146073179243984</v>
      </c>
      <c r="I17" s="34">
        <f t="shared" si="1"/>
        <v>88.190809062310777</v>
      </c>
      <c r="J17" s="34">
        <f t="shared" si="1"/>
        <v>91.443289691977199</v>
      </c>
      <c r="K17" s="86">
        <f t="shared" si="1"/>
        <v>89.817049377143988</v>
      </c>
    </row>
    <row r="18" spans="2:11" ht="15.75" customHeight="1" x14ac:dyDescent="0.25">
      <c r="B18" s="33">
        <v>62</v>
      </c>
      <c r="C18" s="86">
        <f t="shared" ref="C18:K18" si="2">C7+$B7</f>
        <v>89.65542056128136</v>
      </c>
      <c r="D18" s="34">
        <f t="shared" si="2"/>
        <v>92.041184801276572</v>
      </c>
      <c r="E18" s="34">
        <f t="shared" si="2"/>
        <v>90.848302681278966</v>
      </c>
      <c r="F18" s="34">
        <f t="shared" si="2"/>
        <v>92.456045077581365</v>
      </c>
      <c r="G18" s="34">
        <f t="shared" si="2"/>
        <v>93.900977059176569</v>
      </c>
      <c r="H18" s="34">
        <f t="shared" si="2"/>
        <v>93.178511068378967</v>
      </c>
      <c r="I18" s="34">
        <f t="shared" si="2"/>
        <v>88.351087132281364</v>
      </c>
      <c r="J18" s="34">
        <f t="shared" si="2"/>
        <v>91.528044104376562</v>
      </c>
      <c r="K18" s="86">
        <f t="shared" si="2"/>
        <v>89.93956561832897</v>
      </c>
    </row>
    <row r="19" spans="2:11" ht="15.75" customHeight="1" x14ac:dyDescent="0.25">
      <c r="B19" s="33">
        <v>63</v>
      </c>
      <c r="C19" s="86">
        <f t="shared" ref="C19:K19" si="3">C8+$B8</f>
        <v>89.778400362424165</v>
      </c>
      <c r="D19" s="34">
        <f t="shared" si="3"/>
        <v>92.120756871737072</v>
      </c>
      <c r="E19" s="34">
        <f t="shared" si="3"/>
        <v>90.949578617080618</v>
      </c>
      <c r="F19" s="34">
        <f t="shared" si="3"/>
        <v>92.48366936922416</v>
      </c>
      <c r="G19" s="34">
        <f t="shared" si="3"/>
        <v>93.942438846437071</v>
      </c>
      <c r="H19" s="34">
        <f t="shared" si="3"/>
        <v>93.213054107830615</v>
      </c>
      <c r="I19" s="34">
        <f t="shared" si="3"/>
        <v>88.513364676024167</v>
      </c>
      <c r="J19" s="34">
        <f t="shared" si="3"/>
        <v>91.61416750723707</v>
      </c>
      <c r="K19" s="86">
        <f t="shared" si="3"/>
        <v>90.063766091630612</v>
      </c>
    </row>
    <row r="20" spans="2:11" ht="15.75" customHeight="1" x14ac:dyDescent="0.25">
      <c r="B20" s="33">
        <v>64</v>
      </c>
      <c r="C20" s="86">
        <f t="shared" ref="C20:K20" si="4">C9+$B9</f>
        <v>89.904039005894205</v>
      </c>
      <c r="D20" s="34">
        <f t="shared" si="4"/>
        <v>92.202547136873974</v>
      </c>
      <c r="E20" s="34">
        <f t="shared" si="4"/>
        <v>91.05329307138409</v>
      </c>
      <c r="F20" s="34">
        <f t="shared" si="4"/>
        <v>92.514491336594205</v>
      </c>
      <c r="G20" s="34">
        <f t="shared" si="4"/>
        <v>93.985563110473976</v>
      </c>
      <c r="H20" s="34">
        <f t="shared" si="4"/>
        <v>93.25002722353409</v>
      </c>
      <c r="I20" s="34">
        <f t="shared" si="4"/>
        <v>88.6782462195942</v>
      </c>
      <c r="J20" s="34">
        <f t="shared" si="4"/>
        <v>91.70217174807398</v>
      </c>
      <c r="K20" s="86">
        <f t="shared" si="4"/>
        <v>90.190208983834083</v>
      </c>
    </row>
    <row r="21" spans="2:11" ht="15.75" customHeight="1" x14ac:dyDescent="0.25">
      <c r="B21" s="33">
        <v>65</v>
      </c>
      <c r="C21" s="87">
        <f t="shared" ref="C21:K21" si="5">C10+$B10</f>
        <v>90.030724825547225</v>
      </c>
      <c r="D21" s="35">
        <f t="shared" si="5"/>
        <v>92.287084961207881</v>
      </c>
      <c r="E21" s="35">
        <f t="shared" si="5"/>
        <v>91.158904893377553</v>
      </c>
      <c r="F21" s="35">
        <f t="shared" si="5"/>
        <v>92.546212706547209</v>
      </c>
      <c r="G21" s="35">
        <f t="shared" si="5"/>
        <v>94.031798480207883</v>
      </c>
      <c r="H21" s="35">
        <f t="shared" si="5"/>
        <v>93.289005593377539</v>
      </c>
      <c r="I21" s="35">
        <f t="shared" si="5"/>
        <v>88.844381931847209</v>
      </c>
      <c r="J21" s="35">
        <f t="shared" si="5"/>
        <v>91.792426171307881</v>
      </c>
      <c r="K21" s="87">
        <f t="shared" si="5"/>
        <v>90.318404051577545</v>
      </c>
    </row>
    <row r="22" spans="2:11" ht="15.75" customHeight="1" x14ac:dyDescent="0.25">
      <c r="B22" s="33">
        <v>66</v>
      </c>
      <c r="C22" s="87">
        <f t="shared" ref="C22:K22" si="6">C11+$B11</f>
        <v>90.16177849710283</v>
      </c>
      <c r="D22" s="35">
        <f t="shared" si="6"/>
        <v>92.374682788332066</v>
      </c>
      <c r="E22" s="35">
        <f t="shared" si="6"/>
        <v>91.268230642717441</v>
      </c>
      <c r="F22" s="35">
        <f t="shared" si="6"/>
        <v>92.581274383002821</v>
      </c>
      <c r="G22" s="35">
        <f t="shared" si="6"/>
        <v>94.080176488332071</v>
      </c>
      <c r="H22" s="35">
        <f t="shared" si="6"/>
        <v>93.330725435667446</v>
      </c>
      <c r="I22" s="35">
        <f t="shared" si="6"/>
        <v>89.015444975402829</v>
      </c>
      <c r="J22" s="35">
        <f t="shared" si="6"/>
        <v>91.885412615032067</v>
      </c>
      <c r="K22" s="87">
        <f t="shared" si="6"/>
        <v>90.450428795217448</v>
      </c>
    </row>
    <row r="23" spans="2:11" ht="15.75" customHeight="1" thickBot="1" x14ac:dyDescent="0.3">
      <c r="B23" s="36">
        <v>67</v>
      </c>
      <c r="C23" s="88">
        <f t="shared" ref="C23:K23" si="7">C12+$B12</f>
        <v>90.296508796181115</v>
      </c>
      <c r="D23" s="37">
        <f t="shared" si="7"/>
        <v>92.465366369906292</v>
      </c>
      <c r="E23" s="37">
        <f t="shared" si="7"/>
        <v>91.380937583043703</v>
      </c>
      <c r="F23" s="37">
        <f t="shared" si="7"/>
        <v>92.620089854881115</v>
      </c>
      <c r="G23" s="37">
        <f t="shared" si="7"/>
        <v>94.131057036006297</v>
      </c>
      <c r="H23" s="37">
        <f t="shared" si="7"/>
        <v>93.375573445443706</v>
      </c>
      <c r="I23" s="37">
        <f t="shared" si="7"/>
        <v>89.190270404481112</v>
      </c>
      <c r="J23" s="37">
        <f t="shared" si="7"/>
        <v>91.981069409006295</v>
      </c>
      <c r="K23" s="88">
        <f t="shared" si="7"/>
        <v>90.585669906743703</v>
      </c>
    </row>
    <row r="103" spans="2:3" s="40" customFormat="1" ht="15.75" customHeight="1" x14ac:dyDescent="0.25">
      <c r="B103" s="38"/>
      <c r="C103" s="39"/>
    </row>
    <row r="104" spans="2:3" s="40" customFormat="1" ht="15.75" customHeight="1" x14ac:dyDescent="0.25">
      <c r="B104" s="38"/>
      <c r="C104" s="39"/>
    </row>
    <row r="105" spans="2:3" s="40" customFormat="1" ht="15.75" customHeight="1" x14ac:dyDescent="0.25">
      <c r="B105" s="38"/>
      <c r="C105" s="39"/>
    </row>
    <row r="106" spans="2:3" s="40" customFormat="1" ht="15.75" customHeight="1" x14ac:dyDescent="0.25">
      <c r="B106" s="38"/>
      <c r="C106" s="39"/>
    </row>
    <row r="107" spans="2:3" s="40" customFormat="1" ht="15.75" customHeight="1" x14ac:dyDescent="0.25">
      <c r="B107" s="38"/>
      <c r="C107" s="39"/>
    </row>
    <row r="108" spans="2:3" s="40" customFormat="1" ht="15.75" customHeight="1" x14ac:dyDescent="0.25">
      <c r="B108" s="38"/>
      <c r="C108" s="39"/>
    </row>
    <row r="109" spans="2:3" s="40" customFormat="1" ht="15.75" customHeight="1" x14ac:dyDescent="0.25">
      <c r="B109" s="38"/>
      <c r="C109" s="39"/>
    </row>
    <row r="110" spans="2:3" s="40" customFormat="1" ht="15.75" customHeight="1" x14ac:dyDescent="0.25">
      <c r="B110" s="38"/>
      <c r="C110" s="39"/>
    </row>
    <row r="111" spans="2:3" s="40" customFormat="1" ht="15.75" customHeight="1" x14ac:dyDescent="0.25">
      <c r="B111" s="38"/>
      <c r="C111" s="39"/>
    </row>
    <row r="112" spans="2:3" s="40" customFormat="1" ht="15.75" customHeight="1" x14ac:dyDescent="0.25">
      <c r="B112" s="38"/>
      <c r="C112" s="39"/>
    </row>
    <row r="113" spans="2:3" s="40" customFormat="1" ht="15.75" customHeight="1" x14ac:dyDescent="0.25">
      <c r="B113" s="38"/>
      <c r="C113" s="39"/>
    </row>
    <row r="114" spans="2:3" s="40" customFormat="1" ht="15.75" customHeight="1" x14ac:dyDescent="0.25">
      <c r="B114" s="38"/>
      <c r="C114" s="39"/>
    </row>
    <row r="115" spans="2:3" s="40" customFormat="1" ht="15.75" customHeight="1" x14ac:dyDescent="0.25">
      <c r="B115" s="38"/>
      <c r="C115" s="39"/>
    </row>
    <row r="116" spans="2:3" s="40" customFormat="1" ht="15.75" customHeight="1" x14ac:dyDescent="0.25">
      <c r="B116" s="38"/>
      <c r="C116" s="39"/>
    </row>
    <row r="117" spans="2:3" s="40" customFormat="1" ht="15.75" customHeight="1" x14ac:dyDescent="0.25">
      <c r="B117" s="38"/>
      <c r="C117" s="39"/>
    </row>
    <row r="118" spans="2:3" s="40" customFormat="1" ht="15.75" customHeight="1" x14ac:dyDescent="0.25">
      <c r="B118" s="38"/>
      <c r="C118" s="39"/>
    </row>
    <row r="119" spans="2:3" s="40" customFormat="1" ht="15.75" customHeight="1" x14ac:dyDescent="0.25">
      <c r="B119" s="38"/>
      <c r="C119" s="39"/>
    </row>
    <row r="120" spans="2:3" s="40" customFormat="1" ht="15.75" customHeight="1" x14ac:dyDescent="0.25">
      <c r="B120" s="38"/>
      <c r="C120" s="39"/>
    </row>
    <row r="121" spans="2:3" s="40" customFormat="1" ht="15.75" customHeight="1" x14ac:dyDescent="0.25">
      <c r="B121" s="38"/>
      <c r="C121" s="39"/>
    </row>
    <row r="122" spans="2:3" s="40" customFormat="1" ht="15.75" customHeight="1" x14ac:dyDescent="0.25">
      <c r="B122" s="38"/>
      <c r="C122" s="39"/>
    </row>
    <row r="123" spans="2:3" s="40" customFormat="1" ht="15.75" customHeight="1" x14ac:dyDescent="0.25">
      <c r="B123" s="38"/>
      <c r="C123" s="39"/>
    </row>
    <row r="124" spans="2:3" s="40" customFormat="1" ht="15.75" customHeight="1" x14ac:dyDescent="0.25">
      <c r="B124" s="38"/>
      <c r="C124" s="39"/>
    </row>
    <row r="125" spans="2:3" s="40" customFormat="1" ht="15.75" customHeight="1" x14ac:dyDescent="0.25">
      <c r="B125" s="38"/>
      <c r="C125" s="39"/>
    </row>
    <row r="126" spans="2:3" s="40" customFormat="1" ht="15.75" customHeight="1" x14ac:dyDescent="0.25">
      <c r="B126" s="38"/>
      <c r="C126" s="39"/>
    </row>
    <row r="127" spans="2:3" s="40" customFormat="1" ht="15.75" customHeight="1" x14ac:dyDescent="0.25">
      <c r="B127" s="38"/>
      <c r="C127" s="39"/>
    </row>
    <row r="128" spans="2:3" s="40" customFormat="1" ht="15.75" customHeight="1" x14ac:dyDescent="0.25">
      <c r="B128" s="38"/>
      <c r="C128" s="39"/>
    </row>
    <row r="129" spans="2:3" s="40" customFormat="1" ht="15.75" customHeight="1" x14ac:dyDescent="0.25">
      <c r="B129" s="38"/>
      <c r="C129" s="39"/>
    </row>
    <row r="130" spans="2:3" s="40" customFormat="1" ht="15.75" customHeight="1" x14ac:dyDescent="0.25">
      <c r="B130" s="38"/>
      <c r="C130" s="39"/>
    </row>
    <row r="131" spans="2:3" s="40" customFormat="1" ht="15.75" customHeight="1" x14ac:dyDescent="0.25">
      <c r="B131" s="38"/>
      <c r="C131" s="39"/>
    </row>
    <row r="132" spans="2:3" s="40" customFormat="1" ht="15.75" customHeight="1" x14ac:dyDescent="0.25">
      <c r="B132" s="38"/>
      <c r="C132" s="39"/>
    </row>
    <row r="133" spans="2:3" s="40" customFormat="1" ht="15.75" customHeight="1" x14ac:dyDescent="0.25">
      <c r="B133" s="38"/>
      <c r="C133" s="39"/>
    </row>
    <row r="134" spans="2:3" s="40" customFormat="1" ht="15.75" customHeight="1" x14ac:dyDescent="0.25">
      <c r="B134" s="38"/>
      <c r="C134" s="39"/>
    </row>
    <row r="135" spans="2:3" s="40" customFormat="1" ht="15.75" customHeight="1" x14ac:dyDescent="0.25">
      <c r="B135" s="38"/>
      <c r="C135" s="39"/>
    </row>
    <row r="136" spans="2:3" s="40" customFormat="1" ht="15.75" customHeight="1" x14ac:dyDescent="0.25">
      <c r="B136" s="38"/>
      <c r="C136" s="39"/>
    </row>
    <row r="137" spans="2:3" s="40" customFormat="1" ht="15.75" customHeight="1" x14ac:dyDescent="0.25">
      <c r="B137" s="38"/>
      <c r="C137" s="39"/>
    </row>
    <row r="138" spans="2:3" s="40" customFormat="1" ht="15.75" customHeight="1" x14ac:dyDescent="0.25">
      <c r="B138" s="38"/>
      <c r="C138" s="39"/>
    </row>
    <row r="139" spans="2:3" s="40" customFormat="1" ht="15.75" customHeight="1" x14ac:dyDescent="0.25">
      <c r="B139" s="38"/>
      <c r="C139" s="39"/>
    </row>
    <row r="140" spans="2:3" s="40" customFormat="1" ht="15.75" customHeight="1" x14ac:dyDescent="0.25">
      <c r="B140" s="38"/>
      <c r="C140" s="39"/>
    </row>
    <row r="141" spans="2:3" s="40" customFormat="1" ht="15.75" customHeight="1" x14ac:dyDescent="0.25">
      <c r="B141" s="38"/>
      <c r="C141" s="39"/>
    </row>
    <row r="142" spans="2:3" s="40" customFormat="1" ht="15.75" customHeight="1" x14ac:dyDescent="0.25">
      <c r="B142" s="38"/>
      <c r="C142" s="39"/>
    </row>
    <row r="143" spans="2:3" s="40" customFormat="1" ht="15.75" customHeight="1" x14ac:dyDescent="0.25">
      <c r="B143" s="38"/>
      <c r="C143" s="39"/>
    </row>
    <row r="144" spans="2:3" s="40" customFormat="1" ht="15.75" customHeight="1" x14ac:dyDescent="0.25">
      <c r="B144" s="38"/>
      <c r="C144" s="39"/>
    </row>
    <row r="145" spans="2:3" s="40" customFormat="1" ht="15.75" customHeight="1" x14ac:dyDescent="0.25">
      <c r="B145" s="38"/>
      <c r="C145" s="39"/>
    </row>
    <row r="146" spans="2:3" s="40" customFormat="1" ht="15.75" customHeight="1" x14ac:dyDescent="0.25">
      <c r="B146" s="38"/>
      <c r="C146" s="39"/>
    </row>
    <row r="147" spans="2:3" s="40" customFormat="1" ht="15.75" customHeight="1" x14ac:dyDescent="0.25">
      <c r="B147" s="38"/>
      <c r="C147" s="39"/>
    </row>
    <row r="148" spans="2:3" s="40" customFormat="1" ht="15.75" customHeight="1" x14ac:dyDescent="0.25">
      <c r="B148" s="38"/>
      <c r="C148" s="39"/>
    </row>
    <row r="149" spans="2:3" s="40" customFormat="1" ht="15.75" customHeight="1" x14ac:dyDescent="0.25">
      <c r="B149" s="38"/>
      <c r="C149" s="39"/>
    </row>
    <row r="150" spans="2:3" s="40" customFormat="1" ht="15.75" customHeight="1" x14ac:dyDescent="0.25">
      <c r="B150" s="38"/>
      <c r="C150" s="39"/>
    </row>
    <row r="151" spans="2:3" s="40" customFormat="1" ht="15.75" customHeight="1" x14ac:dyDescent="0.25">
      <c r="B151" s="38"/>
      <c r="C151" s="39"/>
    </row>
    <row r="152" spans="2:3" s="40" customFormat="1" ht="15.75" customHeight="1" x14ac:dyDescent="0.25">
      <c r="B152" s="38"/>
      <c r="C152" s="39"/>
    </row>
    <row r="153" spans="2:3" s="40" customFormat="1" ht="15.75" customHeight="1" x14ac:dyDescent="0.25">
      <c r="B153" s="38"/>
      <c r="C153" s="39"/>
    </row>
    <row r="154" spans="2:3" s="40" customFormat="1" ht="15.75" customHeight="1" x14ac:dyDescent="0.25">
      <c r="B154" s="38"/>
      <c r="C154" s="39"/>
    </row>
    <row r="155" spans="2:3" s="40" customFormat="1" ht="15.75" customHeight="1" x14ac:dyDescent="0.25">
      <c r="B155" s="38"/>
      <c r="C155" s="39"/>
    </row>
    <row r="156" spans="2:3" s="40" customFormat="1" ht="15.75" customHeight="1" x14ac:dyDescent="0.25">
      <c r="B156" s="38"/>
      <c r="C156" s="39"/>
    </row>
    <row r="157" spans="2:3" s="40" customFormat="1" ht="15.75" customHeight="1" x14ac:dyDescent="0.25">
      <c r="B157" s="38"/>
      <c r="C157" s="39"/>
    </row>
    <row r="158" spans="2:3" s="40" customFormat="1" ht="15.75" customHeight="1" x14ac:dyDescent="0.25">
      <c r="B158" s="38"/>
      <c r="C158" s="39"/>
    </row>
    <row r="159" spans="2:3" s="40" customFormat="1" ht="15.75" customHeight="1" x14ac:dyDescent="0.25">
      <c r="B159" s="38"/>
      <c r="C159" s="39"/>
    </row>
    <row r="160" spans="2:3" s="40" customFormat="1" ht="15.75" customHeight="1" x14ac:dyDescent="0.25">
      <c r="B160" s="38"/>
      <c r="C160" s="39"/>
    </row>
    <row r="161" spans="2:3" s="40" customFormat="1" ht="15.75" customHeight="1" x14ac:dyDescent="0.25">
      <c r="B161" s="38"/>
      <c r="C161" s="39"/>
    </row>
    <row r="162" spans="2:3" s="40" customFormat="1" ht="15.75" customHeight="1" x14ac:dyDescent="0.25">
      <c r="B162" s="38"/>
      <c r="C162" s="39"/>
    </row>
    <row r="163" spans="2:3" s="40" customFormat="1" ht="15.75" customHeight="1" x14ac:dyDescent="0.25">
      <c r="B163" s="38"/>
      <c r="C163" s="39"/>
    </row>
    <row r="164" spans="2:3" s="40" customFormat="1" ht="15.75" customHeight="1" x14ac:dyDescent="0.25">
      <c r="B164" s="38"/>
      <c r="C164" s="39"/>
    </row>
    <row r="165" spans="2:3" s="40" customFormat="1" ht="15.75" customHeight="1" x14ac:dyDescent="0.25">
      <c r="B165" s="38"/>
      <c r="C165" s="39"/>
    </row>
    <row r="166" spans="2:3" s="40" customFormat="1" ht="15.75" customHeight="1" x14ac:dyDescent="0.25">
      <c r="B166" s="38"/>
      <c r="C166" s="39"/>
    </row>
    <row r="167" spans="2:3" s="40" customFormat="1" ht="15.75" customHeight="1" x14ac:dyDescent="0.25">
      <c r="B167" s="38"/>
      <c r="C167" s="39"/>
    </row>
    <row r="168" spans="2:3" s="40" customFormat="1" ht="15.75" customHeight="1" x14ac:dyDescent="0.25">
      <c r="B168" s="38"/>
      <c r="C168" s="39"/>
    </row>
    <row r="169" spans="2:3" s="40" customFormat="1" ht="15.75" customHeight="1" x14ac:dyDescent="0.25">
      <c r="B169" s="38"/>
      <c r="C169" s="39"/>
    </row>
    <row r="170" spans="2:3" s="40" customFormat="1" ht="15.75" customHeight="1" x14ac:dyDescent="0.25">
      <c r="B170" s="38"/>
      <c r="C170" s="39"/>
    </row>
    <row r="171" spans="2:3" s="40" customFormat="1" ht="15.75" customHeight="1" x14ac:dyDescent="0.25">
      <c r="B171" s="38"/>
      <c r="C171" s="39"/>
    </row>
    <row r="172" spans="2:3" s="40" customFormat="1" ht="15.75" customHeight="1" x14ac:dyDescent="0.25">
      <c r="B172" s="38"/>
      <c r="C172" s="39"/>
    </row>
    <row r="173" spans="2:3" s="40" customFormat="1" ht="15.75" customHeight="1" x14ac:dyDescent="0.25">
      <c r="B173" s="38"/>
      <c r="C173" s="39"/>
    </row>
    <row r="174" spans="2:3" s="40" customFormat="1" ht="15.75" customHeight="1" x14ac:dyDescent="0.25">
      <c r="B174" s="38"/>
      <c r="C174" s="39"/>
    </row>
    <row r="175" spans="2:3" s="40" customFormat="1" ht="15.75" customHeight="1" x14ac:dyDescent="0.25">
      <c r="B175" s="38"/>
      <c r="C175" s="39"/>
    </row>
    <row r="176" spans="2:3" s="40" customFormat="1" ht="15.75" customHeight="1" x14ac:dyDescent="0.25">
      <c r="B176" s="38"/>
      <c r="C176" s="39"/>
    </row>
    <row r="177" spans="2:3" s="40" customFormat="1" ht="15.75" customHeight="1" x14ac:dyDescent="0.25">
      <c r="B177" s="38"/>
      <c r="C177" s="39"/>
    </row>
    <row r="178" spans="2:3" s="40" customFormat="1" ht="15.75" customHeight="1" x14ac:dyDescent="0.25">
      <c r="B178" s="38"/>
      <c r="C178" s="39"/>
    </row>
    <row r="179" spans="2:3" s="40" customFormat="1" ht="15.75" customHeight="1" x14ac:dyDescent="0.25">
      <c r="B179" s="38"/>
      <c r="C179" s="39"/>
    </row>
    <row r="180" spans="2:3" s="40" customFormat="1" ht="15.75" customHeight="1" x14ac:dyDescent="0.25">
      <c r="B180" s="38"/>
      <c r="C180" s="39"/>
    </row>
    <row r="181" spans="2:3" s="40" customFormat="1" ht="15.75" customHeight="1" x14ac:dyDescent="0.25">
      <c r="B181" s="38"/>
      <c r="C181" s="39"/>
    </row>
    <row r="182" spans="2:3" s="40" customFormat="1" ht="15.75" customHeight="1" x14ac:dyDescent="0.25">
      <c r="B182" s="38"/>
      <c r="C182" s="39"/>
    </row>
    <row r="183" spans="2:3" s="40" customFormat="1" ht="15.75" customHeight="1" x14ac:dyDescent="0.25">
      <c r="B183" s="38"/>
      <c r="C183" s="39"/>
    </row>
    <row r="184" spans="2:3" s="40" customFormat="1" ht="15.75" customHeight="1" x14ac:dyDescent="0.25">
      <c r="B184" s="38"/>
      <c r="C184" s="39"/>
    </row>
    <row r="185" spans="2:3" s="40" customFormat="1" ht="15.75" customHeight="1" x14ac:dyDescent="0.25">
      <c r="B185" s="38"/>
      <c r="C185" s="39"/>
    </row>
    <row r="186" spans="2:3" s="40" customFormat="1" ht="15.75" customHeight="1" x14ac:dyDescent="0.25">
      <c r="B186" s="38"/>
      <c r="C186" s="39"/>
    </row>
    <row r="187" spans="2:3" s="40" customFormat="1" ht="15.75" customHeight="1" x14ac:dyDescent="0.25">
      <c r="B187" s="38"/>
      <c r="C187" s="39"/>
    </row>
    <row r="188" spans="2:3" s="40" customFormat="1" ht="15.75" customHeight="1" x14ac:dyDescent="0.25">
      <c r="B188" s="38"/>
      <c r="C188" s="39"/>
    </row>
    <row r="189" spans="2:3" s="40" customFormat="1" ht="15.75" customHeight="1" x14ac:dyDescent="0.25">
      <c r="B189" s="38"/>
      <c r="C189" s="39"/>
    </row>
    <row r="190" spans="2:3" s="40" customFormat="1" ht="15.75" customHeight="1" x14ac:dyDescent="0.25">
      <c r="B190" s="38"/>
      <c r="C190" s="39"/>
    </row>
    <row r="191" spans="2:3" s="40" customFormat="1" ht="15.75" customHeight="1" x14ac:dyDescent="0.25">
      <c r="B191" s="38"/>
      <c r="C191" s="39"/>
    </row>
    <row r="192" spans="2:3" s="40" customFormat="1" ht="15.75" customHeight="1" x14ac:dyDescent="0.25">
      <c r="B192" s="38"/>
      <c r="C192" s="39"/>
    </row>
    <row r="193" spans="2:3" s="40" customFormat="1" ht="15.75" customHeight="1" x14ac:dyDescent="0.25">
      <c r="B193" s="38"/>
      <c r="C193" s="39"/>
    </row>
    <row r="194" spans="2:3" s="40" customFormat="1" ht="15.75" customHeight="1" x14ac:dyDescent="0.25">
      <c r="B194" s="38"/>
      <c r="C194" s="39"/>
    </row>
    <row r="195" spans="2:3" s="40" customFormat="1" ht="15.75" customHeight="1" x14ac:dyDescent="0.25">
      <c r="B195" s="38"/>
      <c r="C195" s="39"/>
    </row>
    <row r="196" spans="2:3" s="40" customFormat="1" ht="15.75" customHeight="1" x14ac:dyDescent="0.25">
      <c r="B196" s="38"/>
      <c r="C196" s="39"/>
    </row>
    <row r="197" spans="2:3" s="40" customFormat="1" ht="15.75" customHeight="1" x14ac:dyDescent="0.25">
      <c r="B197" s="38"/>
      <c r="C197" s="39"/>
    </row>
    <row r="198" spans="2:3" s="40" customFormat="1" ht="15.75" customHeight="1" x14ac:dyDescent="0.25">
      <c r="B198" s="38"/>
      <c r="C198" s="39"/>
    </row>
    <row r="199" spans="2:3" s="40" customFormat="1" ht="15.75" customHeight="1" x14ac:dyDescent="0.25">
      <c r="B199" s="38"/>
      <c r="C199" s="39"/>
    </row>
    <row r="200" spans="2:3" s="40" customFormat="1" ht="15.75" customHeight="1" x14ac:dyDescent="0.25">
      <c r="B200" s="38"/>
      <c r="C200" s="39"/>
    </row>
    <row r="201" spans="2:3" s="40" customFormat="1" ht="15.75" customHeight="1" x14ac:dyDescent="0.25">
      <c r="B201" s="38"/>
      <c r="C201" s="39"/>
    </row>
    <row r="202" spans="2:3" s="40" customFormat="1" ht="15.75" customHeight="1" x14ac:dyDescent="0.25">
      <c r="B202" s="38"/>
      <c r="C202" s="39"/>
    </row>
    <row r="203" spans="2:3" s="40" customFormat="1" ht="15.75" customHeight="1" x14ac:dyDescent="0.25">
      <c r="B203" s="38"/>
      <c r="C203" s="39"/>
    </row>
    <row r="204" spans="2:3" s="40" customFormat="1" ht="15.75" customHeight="1" x14ac:dyDescent="0.25">
      <c r="B204" s="38"/>
      <c r="C204" s="39"/>
    </row>
    <row r="205" spans="2:3" s="40" customFormat="1" ht="15.75" customHeight="1" x14ac:dyDescent="0.25">
      <c r="B205" s="38"/>
      <c r="C205" s="39"/>
    </row>
    <row r="206" spans="2:3" s="40" customFormat="1" ht="15.75" customHeight="1" x14ac:dyDescent="0.25">
      <c r="B206" s="38"/>
      <c r="C206" s="39"/>
    </row>
    <row r="207" spans="2:3" s="40" customFormat="1" ht="15.75" customHeight="1" x14ac:dyDescent="0.25">
      <c r="B207" s="38"/>
      <c r="C207" s="39"/>
    </row>
    <row r="208" spans="2:3" s="40" customFormat="1" ht="15.75" customHeight="1" x14ac:dyDescent="0.25">
      <c r="B208" s="38"/>
      <c r="C208" s="39"/>
    </row>
    <row r="209" spans="2:3" s="40" customFormat="1" ht="15.75" customHeight="1" x14ac:dyDescent="0.25">
      <c r="B209" s="38"/>
      <c r="C209" s="39"/>
    </row>
    <row r="210" spans="2:3" s="40" customFormat="1" ht="15.75" customHeight="1" x14ac:dyDescent="0.25">
      <c r="B210" s="38"/>
      <c r="C210" s="39"/>
    </row>
    <row r="211" spans="2:3" s="40" customFormat="1" ht="15.75" customHeight="1" x14ac:dyDescent="0.25">
      <c r="B211" s="38"/>
      <c r="C211" s="39"/>
    </row>
    <row r="212" spans="2:3" s="40" customFormat="1" ht="15.75" customHeight="1" x14ac:dyDescent="0.25">
      <c r="B212" s="38"/>
      <c r="C212" s="39"/>
    </row>
    <row r="213" spans="2:3" s="40" customFormat="1" ht="15.75" customHeight="1" x14ac:dyDescent="0.25">
      <c r="B213" s="38"/>
      <c r="C213" s="39"/>
    </row>
    <row r="214" spans="2:3" s="40" customFormat="1" ht="15.75" customHeight="1" x14ac:dyDescent="0.25">
      <c r="B214" s="38"/>
      <c r="C214" s="39"/>
    </row>
    <row r="215" spans="2:3" s="40" customFormat="1" ht="15.75" customHeight="1" x14ac:dyDescent="0.25">
      <c r="B215" s="38"/>
      <c r="C215" s="39"/>
    </row>
    <row r="216" spans="2:3" s="40" customFormat="1" ht="15.75" customHeight="1" x14ac:dyDescent="0.25">
      <c r="B216" s="38"/>
      <c r="C216" s="39"/>
    </row>
    <row r="217" spans="2:3" s="40" customFormat="1" ht="15.75" customHeight="1" x14ac:dyDescent="0.25">
      <c r="B217" s="38"/>
      <c r="C217" s="39"/>
    </row>
    <row r="218" spans="2:3" s="40" customFormat="1" ht="15.75" customHeight="1" x14ac:dyDescent="0.25">
      <c r="B218" s="38"/>
      <c r="C218" s="39"/>
    </row>
    <row r="219" spans="2:3" s="40" customFormat="1" ht="15.75" customHeight="1" x14ac:dyDescent="0.25">
      <c r="B219" s="38"/>
      <c r="C219" s="39"/>
    </row>
    <row r="220" spans="2:3" s="40" customFormat="1" ht="15.75" customHeight="1" x14ac:dyDescent="0.25">
      <c r="B220" s="38"/>
      <c r="C220" s="39"/>
    </row>
    <row r="221" spans="2:3" s="40" customFormat="1" ht="15.75" customHeight="1" x14ac:dyDescent="0.25">
      <c r="B221" s="38"/>
      <c r="C221" s="39"/>
    </row>
    <row r="222" spans="2:3" s="40" customFormat="1" ht="15.75" customHeight="1" x14ac:dyDescent="0.25">
      <c r="B222" s="38"/>
      <c r="C222" s="39"/>
    </row>
    <row r="223" spans="2:3" s="40" customFormat="1" ht="15.75" customHeight="1" x14ac:dyDescent="0.25">
      <c r="B223" s="38"/>
      <c r="C223" s="39"/>
    </row>
    <row r="224" spans="2:3" s="40" customFormat="1" ht="15.75" customHeight="1" x14ac:dyDescent="0.25">
      <c r="B224" s="38"/>
      <c r="C224" s="39"/>
    </row>
    <row r="225" spans="2:3" s="40" customFormat="1" ht="15.75" customHeight="1" x14ac:dyDescent="0.25">
      <c r="B225" s="38"/>
      <c r="C225" s="39"/>
    </row>
    <row r="226" spans="2:3" s="40" customFormat="1" ht="15.75" customHeight="1" x14ac:dyDescent="0.25">
      <c r="B226" s="38"/>
      <c r="C226" s="39"/>
    </row>
    <row r="227" spans="2:3" s="40" customFormat="1" ht="15.75" customHeight="1" x14ac:dyDescent="0.25">
      <c r="B227" s="38"/>
      <c r="C227" s="39"/>
    </row>
    <row r="228" spans="2:3" s="40" customFormat="1" ht="15.75" customHeight="1" x14ac:dyDescent="0.25">
      <c r="B228" s="38"/>
      <c r="C228" s="39"/>
    </row>
    <row r="229" spans="2:3" s="40" customFormat="1" ht="15.75" customHeight="1" x14ac:dyDescent="0.25">
      <c r="B229" s="38"/>
      <c r="C229" s="39"/>
    </row>
    <row r="230" spans="2:3" s="40" customFormat="1" ht="15.75" customHeight="1" x14ac:dyDescent="0.25">
      <c r="B230" s="38"/>
      <c r="C230" s="39"/>
    </row>
    <row r="231" spans="2:3" s="40" customFormat="1" ht="15.75" customHeight="1" x14ac:dyDescent="0.25">
      <c r="B231" s="38"/>
      <c r="C231" s="39"/>
    </row>
    <row r="232" spans="2:3" s="40" customFormat="1" ht="15.75" customHeight="1" x14ac:dyDescent="0.25">
      <c r="B232" s="38"/>
      <c r="C232" s="39"/>
    </row>
    <row r="233" spans="2:3" s="40" customFormat="1" ht="15.75" customHeight="1" x14ac:dyDescent="0.25">
      <c r="B233" s="38"/>
      <c r="C233" s="39"/>
    </row>
    <row r="234" spans="2:3" s="40" customFormat="1" ht="15.75" customHeight="1" x14ac:dyDescent="0.25">
      <c r="B234" s="38"/>
      <c r="C234" s="39"/>
    </row>
    <row r="235" spans="2:3" s="40" customFormat="1" ht="15.75" customHeight="1" x14ac:dyDescent="0.25">
      <c r="B235" s="38"/>
      <c r="C235" s="39"/>
    </row>
    <row r="236" spans="2:3" s="40" customFormat="1" ht="15.75" customHeight="1" x14ac:dyDescent="0.25">
      <c r="B236" s="38"/>
      <c r="C236" s="39"/>
    </row>
    <row r="237" spans="2:3" s="40" customFormat="1" ht="15.75" customHeight="1" x14ac:dyDescent="0.25">
      <c r="B237" s="38"/>
      <c r="C237" s="39"/>
    </row>
    <row r="238" spans="2:3" s="40" customFormat="1" ht="15.75" customHeight="1" x14ac:dyDescent="0.25">
      <c r="B238" s="38"/>
      <c r="C238" s="39"/>
    </row>
    <row r="239" spans="2:3" s="40" customFormat="1" ht="15.75" customHeight="1" x14ac:dyDescent="0.25">
      <c r="B239" s="38"/>
      <c r="C239" s="39"/>
    </row>
    <row r="240" spans="2:3" s="40" customFormat="1" ht="15.75" customHeight="1" x14ac:dyDescent="0.25">
      <c r="B240" s="38"/>
      <c r="C240" s="39"/>
    </row>
    <row r="241" spans="2:3" s="40" customFormat="1" ht="15.75" customHeight="1" x14ac:dyDescent="0.25">
      <c r="B241" s="38"/>
      <c r="C241" s="39"/>
    </row>
    <row r="242" spans="2:3" s="40" customFormat="1" ht="15.75" customHeight="1" x14ac:dyDescent="0.25">
      <c r="B242" s="38"/>
      <c r="C242" s="39"/>
    </row>
    <row r="243" spans="2:3" s="40" customFormat="1" ht="15.75" customHeight="1" x14ac:dyDescent="0.25">
      <c r="B243" s="38"/>
      <c r="C243" s="39"/>
    </row>
    <row r="244" spans="2:3" s="40" customFormat="1" ht="15.75" customHeight="1" x14ac:dyDescent="0.25">
      <c r="B244" s="38"/>
      <c r="C244" s="39"/>
    </row>
    <row r="245" spans="2:3" s="40" customFormat="1" ht="15.75" customHeight="1" x14ac:dyDescent="0.25">
      <c r="B245" s="38"/>
      <c r="C245" s="39"/>
    </row>
    <row r="246" spans="2:3" s="40" customFormat="1" ht="15.75" customHeight="1" x14ac:dyDescent="0.25">
      <c r="B246" s="38"/>
      <c r="C246" s="39"/>
    </row>
    <row r="247" spans="2:3" s="40" customFormat="1" ht="15.75" customHeight="1" x14ac:dyDescent="0.25">
      <c r="B247" s="38"/>
      <c r="C247" s="39"/>
    </row>
    <row r="248" spans="2:3" s="40" customFormat="1" ht="15.75" customHeight="1" x14ac:dyDescent="0.25">
      <c r="B248" s="38"/>
      <c r="C248" s="39"/>
    </row>
    <row r="249" spans="2:3" s="40" customFormat="1" ht="15.75" customHeight="1" x14ac:dyDescent="0.25">
      <c r="B249" s="38"/>
      <c r="C249" s="39"/>
    </row>
    <row r="250" spans="2:3" s="40" customFormat="1" ht="15.75" customHeight="1" x14ac:dyDescent="0.25">
      <c r="B250" s="38"/>
      <c r="C250" s="39"/>
    </row>
    <row r="251" spans="2:3" s="40" customFormat="1" ht="15.75" customHeight="1" x14ac:dyDescent="0.25">
      <c r="B251" s="38"/>
      <c r="C251" s="39"/>
    </row>
    <row r="252" spans="2:3" s="40" customFormat="1" ht="15.75" customHeight="1" x14ac:dyDescent="0.25">
      <c r="B252" s="38"/>
      <c r="C252" s="39"/>
    </row>
    <row r="253" spans="2:3" s="40" customFormat="1" ht="15.75" customHeight="1" x14ac:dyDescent="0.25">
      <c r="B253" s="38"/>
      <c r="C253" s="39"/>
    </row>
    <row r="254" spans="2:3" s="40" customFormat="1" ht="15.75" customHeight="1" x14ac:dyDescent="0.25">
      <c r="B254" s="38"/>
      <c r="C254" s="39"/>
    </row>
    <row r="255" spans="2:3" s="40" customFormat="1" ht="15.75" customHeight="1" x14ac:dyDescent="0.25">
      <c r="B255" s="38"/>
      <c r="C255" s="39"/>
    </row>
    <row r="256" spans="2:3" s="40" customFormat="1" ht="15.75" customHeight="1" x14ac:dyDescent="0.25">
      <c r="B256" s="38"/>
      <c r="C256" s="39"/>
    </row>
    <row r="257" spans="2:3" s="40" customFormat="1" ht="15.75" customHeight="1" x14ac:dyDescent="0.25">
      <c r="B257" s="38"/>
      <c r="C257" s="39"/>
    </row>
    <row r="258" spans="2:3" s="40" customFormat="1" ht="15.75" customHeight="1" x14ac:dyDescent="0.25">
      <c r="B258" s="38"/>
      <c r="C258" s="39"/>
    </row>
    <row r="259" spans="2:3" s="40" customFormat="1" ht="15.75" customHeight="1" x14ac:dyDescent="0.25">
      <c r="B259" s="38"/>
      <c r="C259" s="39"/>
    </row>
    <row r="260" spans="2:3" s="40" customFormat="1" ht="15.75" customHeight="1" x14ac:dyDescent="0.25">
      <c r="B260" s="38"/>
      <c r="C260" s="39"/>
    </row>
    <row r="261" spans="2:3" s="40" customFormat="1" ht="15.75" customHeight="1" x14ac:dyDescent="0.25">
      <c r="B261" s="38"/>
      <c r="C261" s="39"/>
    </row>
    <row r="262" spans="2:3" s="40" customFormat="1" ht="15.75" customHeight="1" x14ac:dyDescent="0.25">
      <c r="B262" s="38"/>
      <c r="C262" s="39"/>
    </row>
    <row r="263" spans="2:3" s="40" customFormat="1" ht="15.75" customHeight="1" x14ac:dyDescent="0.25">
      <c r="B263" s="38"/>
      <c r="C263" s="39"/>
    </row>
    <row r="264" spans="2:3" s="40" customFormat="1" ht="15.75" customHeight="1" x14ac:dyDescent="0.25">
      <c r="B264" s="38"/>
      <c r="C264" s="39"/>
    </row>
    <row r="265" spans="2:3" s="40" customFormat="1" ht="15.75" customHeight="1" x14ac:dyDescent="0.25">
      <c r="B265" s="38"/>
      <c r="C265" s="39"/>
    </row>
    <row r="266" spans="2:3" s="40" customFormat="1" ht="15.75" customHeight="1" x14ac:dyDescent="0.25">
      <c r="B266" s="38"/>
      <c r="C266" s="39"/>
    </row>
    <row r="267" spans="2:3" s="40" customFormat="1" ht="15.75" customHeight="1" x14ac:dyDescent="0.25">
      <c r="B267" s="38"/>
      <c r="C267" s="39"/>
    </row>
    <row r="268" spans="2:3" s="40" customFormat="1" ht="15.75" customHeight="1" x14ac:dyDescent="0.25">
      <c r="B268" s="38"/>
      <c r="C268" s="39"/>
    </row>
    <row r="269" spans="2:3" s="40" customFormat="1" ht="15.75" customHeight="1" x14ac:dyDescent="0.25">
      <c r="B269" s="38"/>
      <c r="C269" s="39"/>
    </row>
    <row r="270" spans="2:3" s="40" customFormat="1" ht="15.75" customHeight="1" x14ac:dyDescent="0.25">
      <c r="B270" s="38"/>
      <c r="C270" s="39"/>
    </row>
    <row r="271" spans="2:3" s="40" customFormat="1" ht="15.75" customHeight="1" x14ac:dyDescent="0.25">
      <c r="B271" s="38"/>
      <c r="C271" s="39"/>
    </row>
    <row r="272" spans="2:3" s="40" customFormat="1" ht="15.75" customHeight="1" x14ac:dyDescent="0.25">
      <c r="B272" s="38"/>
      <c r="C272" s="39"/>
    </row>
    <row r="273" spans="2:3" s="40" customFormat="1" ht="15.75" customHeight="1" x14ac:dyDescent="0.25">
      <c r="B273" s="38"/>
      <c r="C273" s="39"/>
    </row>
    <row r="274" spans="2:3" s="40" customFormat="1" ht="15.75" customHeight="1" x14ac:dyDescent="0.25">
      <c r="B274" s="38"/>
      <c r="C274" s="39"/>
    </row>
    <row r="275" spans="2:3" s="40" customFormat="1" ht="15.75" customHeight="1" x14ac:dyDescent="0.25">
      <c r="B275" s="38"/>
      <c r="C275" s="39"/>
    </row>
    <row r="276" spans="2:3" s="40" customFormat="1" ht="15.75" customHeight="1" x14ac:dyDescent="0.25">
      <c r="B276" s="38"/>
      <c r="C276" s="39"/>
    </row>
    <row r="277" spans="2:3" s="40" customFormat="1" ht="15.75" customHeight="1" x14ac:dyDescent="0.25">
      <c r="B277" s="38"/>
      <c r="C277" s="39"/>
    </row>
    <row r="278" spans="2:3" s="40" customFormat="1" ht="15.75" customHeight="1" x14ac:dyDescent="0.25">
      <c r="B278" s="38"/>
      <c r="C278" s="39"/>
    </row>
    <row r="279" spans="2:3" s="40" customFormat="1" ht="15.75" customHeight="1" x14ac:dyDescent="0.25">
      <c r="B279" s="38"/>
      <c r="C279" s="39"/>
    </row>
    <row r="280" spans="2:3" s="40" customFormat="1" ht="15.75" customHeight="1" x14ac:dyDescent="0.25">
      <c r="B280" s="38"/>
      <c r="C280" s="39"/>
    </row>
    <row r="281" spans="2:3" s="40" customFormat="1" ht="15.75" customHeight="1" x14ac:dyDescent="0.25">
      <c r="B281" s="38"/>
      <c r="C281" s="39"/>
    </row>
    <row r="282" spans="2:3" s="40" customFormat="1" ht="15.75" customHeight="1" x14ac:dyDescent="0.25">
      <c r="B282" s="38"/>
      <c r="C282" s="39"/>
    </row>
    <row r="283" spans="2:3" s="40" customFormat="1" ht="15.75" customHeight="1" x14ac:dyDescent="0.25">
      <c r="B283" s="38"/>
      <c r="C283" s="39"/>
    </row>
    <row r="284" spans="2:3" s="40" customFormat="1" ht="15.75" customHeight="1" x14ac:dyDescent="0.25">
      <c r="B284" s="38"/>
      <c r="C284" s="39"/>
    </row>
    <row r="285" spans="2:3" s="40" customFormat="1" ht="15.75" customHeight="1" x14ac:dyDescent="0.25">
      <c r="B285" s="38"/>
      <c r="C285" s="39"/>
    </row>
    <row r="286" spans="2:3" s="40" customFormat="1" ht="15.75" customHeight="1" x14ac:dyDescent="0.25">
      <c r="B286" s="38"/>
      <c r="C286" s="39"/>
    </row>
    <row r="287" spans="2:3" s="40" customFormat="1" ht="15.75" customHeight="1" x14ac:dyDescent="0.25">
      <c r="B287" s="38"/>
      <c r="C287" s="39"/>
    </row>
    <row r="288" spans="2:3" s="40" customFormat="1" ht="15.75" customHeight="1" x14ac:dyDescent="0.25">
      <c r="B288" s="38"/>
      <c r="C288" s="39"/>
    </row>
    <row r="289" spans="2:3" s="40" customFormat="1" ht="15.75" customHeight="1" x14ac:dyDescent="0.25">
      <c r="B289" s="38"/>
      <c r="C289" s="39"/>
    </row>
    <row r="290" spans="2:3" s="40" customFormat="1" ht="15.75" customHeight="1" x14ac:dyDescent="0.25">
      <c r="B290" s="38"/>
      <c r="C290" s="39"/>
    </row>
    <row r="291" spans="2:3" s="40" customFormat="1" ht="15.75" customHeight="1" x14ac:dyDescent="0.25">
      <c r="B291" s="38"/>
      <c r="C291" s="39"/>
    </row>
    <row r="292" spans="2:3" s="40" customFormat="1" ht="15.75" customHeight="1" x14ac:dyDescent="0.25">
      <c r="B292" s="38"/>
      <c r="C292" s="39"/>
    </row>
    <row r="293" spans="2:3" s="40" customFormat="1" ht="15.75" customHeight="1" x14ac:dyDescent="0.25">
      <c r="B293" s="38"/>
      <c r="C293" s="39"/>
    </row>
    <row r="294" spans="2:3" s="40" customFormat="1" ht="15.75" customHeight="1" x14ac:dyDescent="0.25">
      <c r="B294" s="38"/>
      <c r="C294" s="39"/>
    </row>
    <row r="295" spans="2:3" s="40" customFormat="1" ht="15.75" customHeight="1" x14ac:dyDescent="0.25">
      <c r="B295" s="38"/>
      <c r="C295" s="39"/>
    </row>
    <row r="296" spans="2:3" s="40" customFormat="1" ht="15.75" customHeight="1" x14ac:dyDescent="0.25">
      <c r="B296" s="38"/>
      <c r="C296" s="39"/>
    </row>
    <row r="297" spans="2:3" s="40" customFormat="1" ht="15.75" customHeight="1" x14ac:dyDescent="0.25">
      <c r="B297" s="38"/>
      <c r="C297" s="39"/>
    </row>
    <row r="298" spans="2:3" s="40" customFormat="1" ht="15.75" customHeight="1" x14ac:dyDescent="0.25">
      <c r="B298" s="38"/>
      <c r="C298" s="39"/>
    </row>
    <row r="299" spans="2:3" s="40" customFormat="1" ht="15.75" customHeight="1" x14ac:dyDescent="0.25">
      <c r="B299" s="38"/>
      <c r="C299" s="39"/>
    </row>
    <row r="300" spans="2:3" s="40" customFormat="1" ht="15.75" customHeight="1" x14ac:dyDescent="0.25">
      <c r="B300" s="38"/>
      <c r="C300" s="39"/>
    </row>
    <row r="301" spans="2:3" s="40" customFormat="1" ht="15.75" customHeight="1" x14ac:dyDescent="0.25">
      <c r="B301" s="38"/>
      <c r="C301" s="39"/>
    </row>
    <row r="302" spans="2:3" s="40" customFormat="1" ht="15.75" customHeight="1" x14ac:dyDescent="0.25">
      <c r="B302" s="38"/>
      <c r="C302" s="39"/>
    </row>
    <row r="303" spans="2:3" s="40" customFormat="1" ht="15.75" customHeight="1" x14ac:dyDescent="0.25">
      <c r="B303" s="38"/>
      <c r="C303" s="39"/>
    </row>
    <row r="304" spans="2:3" s="40" customFormat="1" ht="15.75" customHeight="1" x14ac:dyDescent="0.25">
      <c r="B304" s="38"/>
      <c r="C304" s="39"/>
    </row>
    <row r="305" spans="2:3" s="40" customFormat="1" ht="15.75" customHeight="1" x14ac:dyDescent="0.25">
      <c r="B305" s="38"/>
      <c r="C305" s="39"/>
    </row>
    <row r="306" spans="2:3" s="40" customFormat="1" ht="15.75" customHeight="1" x14ac:dyDescent="0.25">
      <c r="B306" s="38"/>
      <c r="C306" s="39"/>
    </row>
    <row r="307" spans="2:3" s="40" customFormat="1" ht="15.75" customHeight="1" x14ac:dyDescent="0.25">
      <c r="B307" s="38"/>
      <c r="C307" s="39"/>
    </row>
    <row r="308" spans="2:3" s="40" customFormat="1" ht="15.75" customHeight="1" x14ac:dyDescent="0.25">
      <c r="B308" s="38"/>
      <c r="C308" s="39"/>
    </row>
    <row r="309" spans="2:3" s="40" customFormat="1" ht="15.75" customHeight="1" x14ac:dyDescent="0.25">
      <c r="B309" s="38"/>
      <c r="C309" s="39"/>
    </row>
    <row r="310" spans="2:3" s="40" customFormat="1" ht="15.75" customHeight="1" x14ac:dyDescent="0.25">
      <c r="B310" s="38"/>
      <c r="C310" s="39"/>
    </row>
    <row r="311" spans="2:3" s="40" customFormat="1" ht="15.75" customHeight="1" x14ac:dyDescent="0.25">
      <c r="B311" s="38"/>
      <c r="C311" s="39"/>
    </row>
    <row r="312" spans="2:3" s="40" customFormat="1" ht="15.75" customHeight="1" x14ac:dyDescent="0.25">
      <c r="B312" s="38"/>
      <c r="C312" s="39"/>
    </row>
    <row r="313" spans="2:3" s="40" customFormat="1" ht="15.75" customHeight="1" x14ac:dyDescent="0.25">
      <c r="B313" s="38"/>
      <c r="C313" s="39"/>
    </row>
    <row r="314" spans="2:3" s="40" customFormat="1" ht="15.75" customHeight="1" x14ac:dyDescent="0.25">
      <c r="B314" s="38"/>
      <c r="C314" s="39"/>
    </row>
    <row r="315" spans="2:3" s="40" customFormat="1" ht="15.75" customHeight="1" x14ac:dyDescent="0.25">
      <c r="B315" s="38"/>
      <c r="C315" s="39"/>
    </row>
    <row r="316" spans="2:3" s="40" customFormat="1" ht="15.75" customHeight="1" x14ac:dyDescent="0.25">
      <c r="B316" s="38"/>
      <c r="C316" s="39"/>
    </row>
    <row r="317" spans="2:3" s="40" customFormat="1" ht="15.75" customHeight="1" x14ac:dyDescent="0.25">
      <c r="B317" s="38"/>
      <c r="C317" s="39"/>
    </row>
    <row r="318" spans="2:3" s="40" customFormat="1" ht="15.75" customHeight="1" x14ac:dyDescent="0.25">
      <c r="B318" s="38"/>
      <c r="C318" s="39"/>
    </row>
    <row r="319" spans="2:3" s="40" customFormat="1" ht="15.75" customHeight="1" x14ac:dyDescent="0.25">
      <c r="B319" s="38"/>
      <c r="C319" s="39"/>
    </row>
    <row r="320" spans="2:3" s="40" customFormat="1" ht="15.75" customHeight="1" x14ac:dyDescent="0.25">
      <c r="B320" s="38"/>
      <c r="C320" s="39"/>
    </row>
    <row r="321" spans="2:3" s="40" customFormat="1" ht="15.75" customHeight="1" x14ac:dyDescent="0.25">
      <c r="B321" s="38"/>
      <c r="C321" s="39"/>
    </row>
    <row r="322" spans="2:3" s="40" customFormat="1" ht="15.75" customHeight="1" x14ac:dyDescent="0.25">
      <c r="B322" s="38"/>
      <c r="C322" s="39"/>
    </row>
    <row r="323" spans="2:3" s="40" customFormat="1" ht="15.75" customHeight="1" x14ac:dyDescent="0.25">
      <c r="B323" s="38"/>
      <c r="C323" s="39"/>
    </row>
    <row r="324" spans="2:3" s="40" customFormat="1" ht="15.75" customHeight="1" x14ac:dyDescent="0.25">
      <c r="B324" s="38"/>
      <c r="C324" s="39"/>
    </row>
    <row r="325" spans="2:3" s="40" customFormat="1" ht="15.75" customHeight="1" x14ac:dyDescent="0.25">
      <c r="B325" s="38"/>
      <c r="C325" s="39"/>
    </row>
    <row r="326" spans="2:3" s="40" customFormat="1" ht="15.75" customHeight="1" x14ac:dyDescent="0.25">
      <c r="B326" s="38"/>
      <c r="C326" s="39"/>
    </row>
    <row r="327" spans="2:3" s="40" customFormat="1" ht="15.75" customHeight="1" x14ac:dyDescent="0.25">
      <c r="B327" s="38"/>
      <c r="C327" s="39"/>
    </row>
    <row r="328" spans="2:3" s="40" customFormat="1" ht="15.75" customHeight="1" x14ac:dyDescent="0.25">
      <c r="B328" s="38"/>
      <c r="C328" s="39"/>
    </row>
    <row r="329" spans="2:3" s="40" customFormat="1" ht="15.75" customHeight="1" x14ac:dyDescent="0.25">
      <c r="B329" s="38"/>
      <c r="C329" s="39"/>
    </row>
    <row r="330" spans="2:3" s="40" customFormat="1" ht="15.75" customHeight="1" x14ac:dyDescent="0.25">
      <c r="B330" s="38"/>
      <c r="C330" s="39"/>
    </row>
    <row r="331" spans="2:3" s="40" customFormat="1" ht="15.75" customHeight="1" x14ac:dyDescent="0.25">
      <c r="B331" s="38"/>
      <c r="C331" s="39"/>
    </row>
    <row r="332" spans="2:3" s="40" customFormat="1" ht="15.75" customHeight="1" x14ac:dyDescent="0.25">
      <c r="B332" s="38"/>
      <c r="C332" s="39"/>
    </row>
    <row r="333" spans="2:3" s="40" customFormat="1" ht="15.75" customHeight="1" x14ac:dyDescent="0.25">
      <c r="B333" s="38"/>
      <c r="C333" s="39"/>
    </row>
    <row r="334" spans="2:3" s="40" customFormat="1" ht="15.75" customHeight="1" x14ac:dyDescent="0.25">
      <c r="B334" s="38"/>
      <c r="C334" s="39"/>
    </row>
    <row r="335" spans="2:3" s="40" customFormat="1" ht="15.75" customHeight="1" x14ac:dyDescent="0.25">
      <c r="B335" s="38"/>
      <c r="C335" s="39"/>
    </row>
    <row r="336" spans="2:3" s="40" customFormat="1" ht="15.75" customHeight="1" x14ac:dyDescent="0.25">
      <c r="B336" s="38"/>
      <c r="C336" s="39"/>
    </row>
    <row r="337" spans="2:3" s="40" customFormat="1" ht="15.75" customHeight="1" x14ac:dyDescent="0.25">
      <c r="B337" s="38"/>
      <c r="C337" s="39"/>
    </row>
    <row r="338" spans="2:3" s="40" customFormat="1" ht="15.75" customHeight="1" x14ac:dyDescent="0.25">
      <c r="B338" s="38"/>
      <c r="C338" s="39"/>
    </row>
    <row r="339" spans="2:3" s="40" customFormat="1" ht="15.75" customHeight="1" x14ac:dyDescent="0.25">
      <c r="B339" s="38"/>
      <c r="C339" s="39"/>
    </row>
    <row r="340" spans="2:3" s="40" customFormat="1" ht="15.75" customHeight="1" x14ac:dyDescent="0.25">
      <c r="B340" s="38"/>
      <c r="C340" s="39"/>
    </row>
    <row r="341" spans="2:3" s="40" customFormat="1" ht="15.75" customHeight="1" x14ac:dyDescent="0.25">
      <c r="B341" s="38"/>
      <c r="C341" s="39"/>
    </row>
    <row r="342" spans="2:3" s="40" customFormat="1" ht="15.75" customHeight="1" x14ac:dyDescent="0.25">
      <c r="B342" s="38"/>
      <c r="C342" s="39"/>
    </row>
    <row r="343" spans="2:3" s="40" customFormat="1" ht="15.75" customHeight="1" x14ac:dyDescent="0.25">
      <c r="B343" s="38"/>
      <c r="C343" s="39"/>
    </row>
    <row r="344" spans="2:3" s="40" customFormat="1" ht="15.75" customHeight="1" x14ac:dyDescent="0.25">
      <c r="B344" s="38"/>
      <c r="C344" s="39"/>
    </row>
    <row r="345" spans="2:3" s="40" customFormat="1" ht="15.75" customHeight="1" x14ac:dyDescent="0.25">
      <c r="B345" s="38"/>
      <c r="C345" s="39"/>
    </row>
    <row r="346" spans="2:3" s="40" customFormat="1" ht="15.75" customHeight="1" x14ac:dyDescent="0.25">
      <c r="B346" s="38"/>
      <c r="C346" s="39"/>
    </row>
    <row r="347" spans="2:3" s="40" customFormat="1" ht="15.75" customHeight="1" x14ac:dyDescent="0.25">
      <c r="B347" s="38"/>
      <c r="C347" s="39"/>
    </row>
    <row r="348" spans="2:3" s="40" customFormat="1" ht="15.75" customHeight="1" x14ac:dyDescent="0.25">
      <c r="B348" s="38"/>
      <c r="C348" s="39"/>
    </row>
    <row r="349" spans="2:3" s="40" customFormat="1" ht="15.75" customHeight="1" x14ac:dyDescent="0.25">
      <c r="B349" s="38"/>
      <c r="C349" s="39"/>
    </row>
    <row r="350" spans="2:3" s="40" customFormat="1" ht="15.75" customHeight="1" x14ac:dyDescent="0.25">
      <c r="B350" s="38"/>
      <c r="C350" s="39"/>
    </row>
    <row r="351" spans="2:3" s="40" customFormat="1" ht="15.75" customHeight="1" x14ac:dyDescent="0.25">
      <c r="B351" s="38"/>
      <c r="C351" s="39"/>
    </row>
    <row r="352" spans="2:3" s="40" customFormat="1" ht="15.75" customHeight="1" x14ac:dyDescent="0.25">
      <c r="B352" s="38"/>
      <c r="C352" s="39"/>
    </row>
    <row r="353" spans="2:3" s="40" customFormat="1" ht="15.75" customHeight="1" x14ac:dyDescent="0.25">
      <c r="B353" s="38"/>
      <c r="C353" s="39"/>
    </row>
    <row r="354" spans="2:3" s="40" customFormat="1" ht="15.75" customHeight="1" x14ac:dyDescent="0.25">
      <c r="B354" s="38"/>
      <c r="C354" s="39"/>
    </row>
    <row r="355" spans="2:3" s="40" customFormat="1" ht="15.75" customHeight="1" x14ac:dyDescent="0.25">
      <c r="B355" s="38"/>
      <c r="C355" s="39"/>
    </row>
    <row r="356" spans="2:3" s="40" customFormat="1" ht="15.75" customHeight="1" x14ac:dyDescent="0.25">
      <c r="B356" s="38"/>
      <c r="C356" s="39"/>
    </row>
    <row r="357" spans="2:3" s="40" customFormat="1" ht="15.75" customHeight="1" x14ac:dyDescent="0.25">
      <c r="B357" s="38"/>
      <c r="C357" s="39"/>
    </row>
    <row r="358" spans="2:3" s="40" customFormat="1" ht="15.75" customHeight="1" x14ac:dyDescent="0.25">
      <c r="B358" s="38"/>
      <c r="C358" s="39"/>
    </row>
    <row r="359" spans="2:3" s="40" customFormat="1" ht="15.75" customHeight="1" x14ac:dyDescent="0.25">
      <c r="B359" s="38"/>
      <c r="C359" s="39"/>
    </row>
    <row r="360" spans="2:3" s="40" customFormat="1" ht="15.75" customHeight="1" x14ac:dyDescent="0.25">
      <c r="B360" s="38"/>
      <c r="C360" s="39"/>
    </row>
    <row r="361" spans="2:3" s="40" customFormat="1" ht="15.75" customHeight="1" x14ac:dyDescent="0.25">
      <c r="B361" s="38"/>
      <c r="C361" s="39"/>
    </row>
    <row r="362" spans="2:3" s="40" customFormat="1" ht="15.75" customHeight="1" x14ac:dyDescent="0.25">
      <c r="B362" s="38"/>
      <c r="C362" s="39"/>
    </row>
    <row r="363" spans="2:3" s="40" customFormat="1" ht="15.75" customHeight="1" x14ac:dyDescent="0.25">
      <c r="B363" s="38"/>
      <c r="C363" s="39"/>
    </row>
    <row r="364" spans="2:3" s="40" customFormat="1" ht="15.75" customHeight="1" x14ac:dyDescent="0.25">
      <c r="B364" s="38"/>
      <c r="C364" s="39"/>
    </row>
    <row r="365" spans="2:3" s="40" customFormat="1" ht="15.75" customHeight="1" x14ac:dyDescent="0.25">
      <c r="B365" s="38"/>
      <c r="C365" s="39"/>
    </row>
    <row r="366" spans="2:3" s="40" customFormat="1" ht="15.75" customHeight="1" x14ac:dyDescent="0.25">
      <c r="B366" s="38"/>
      <c r="C366" s="39"/>
    </row>
    <row r="367" spans="2:3" s="40" customFormat="1" ht="15.75" customHeight="1" x14ac:dyDescent="0.25">
      <c r="B367" s="38"/>
      <c r="C367" s="39"/>
    </row>
    <row r="368" spans="2:3" s="40" customFormat="1" ht="15.75" customHeight="1" x14ac:dyDescent="0.25">
      <c r="B368" s="38"/>
      <c r="C368" s="39"/>
    </row>
    <row r="369" spans="2:3" s="40" customFormat="1" ht="15.75" customHeight="1" x14ac:dyDescent="0.25">
      <c r="B369" s="38"/>
      <c r="C369" s="39"/>
    </row>
    <row r="370" spans="2:3" s="40" customFormat="1" ht="15.75" customHeight="1" x14ac:dyDescent="0.25">
      <c r="B370" s="38"/>
      <c r="C370" s="39"/>
    </row>
    <row r="371" spans="2:3" s="40" customFormat="1" ht="15.75" customHeight="1" x14ac:dyDescent="0.25">
      <c r="B371" s="38"/>
      <c r="C371" s="39"/>
    </row>
    <row r="372" spans="2:3" s="40" customFormat="1" ht="15.75" customHeight="1" x14ac:dyDescent="0.25">
      <c r="B372" s="38"/>
      <c r="C372" s="39"/>
    </row>
    <row r="373" spans="2:3" s="40" customFormat="1" ht="15.75" customHeight="1" x14ac:dyDescent="0.25">
      <c r="B373" s="38"/>
      <c r="C373" s="39"/>
    </row>
    <row r="374" spans="2:3" s="40" customFormat="1" ht="15.75" customHeight="1" x14ac:dyDescent="0.25">
      <c r="B374" s="38"/>
      <c r="C374" s="39"/>
    </row>
    <row r="375" spans="2:3" s="40" customFormat="1" ht="15.75" customHeight="1" x14ac:dyDescent="0.25">
      <c r="B375" s="38"/>
      <c r="C375" s="39"/>
    </row>
    <row r="376" spans="2:3" s="40" customFormat="1" ht="15.75" customHeight="1" x14ac:dyDescent="0.25">
      <c r="B376" s="38"/>
      <c r="C376" s="39"/>
    </row>
    <row r="377" spans="2:3" s="40" customFormat="1" ht="15.75" customHeight="1" x14ac:dyDescent="0.25">
      <c r="B377" s="38"/>
      <c r="C377" s="39"/>
    </row>
    <row r="378" spans="2:3" s="40" customFormat="1" ht="15.75" customHeight="1" x14ac:dyDescent="0.25">
      <c r="B378" s="38"/>
      <c r="C378" s="39"/>
    </row>
    <row r="379" spans="2:3" s="40" customFormat="1" ht="15.75" customHeight="1" x14ac:dyDescent="0.25">
      <c r="B379" s="38"/>
      <c r="C379" s="39"/>
    </row>
    <row r="380" spans="2:3" s="40" customFormat="1" ht="15.75" customHeight="1" x14ac:dyDescent="0.25">
      <c r="B380" s="38"/>
      <c r="C380" s="39"/>
    </row>
    <row r="381" spans="2:3" s="40" customFormat="1" ht="15.75" customHeight="1" x14ac:dyDescent="0.25">
      <c r="B381" s="38"/>
      <c r="C381" s="39"/>
    </row>
    <row r="382" spans="2:3" s="40" customFormat="1" ht="15.75" customHeight="1" x14ac:dyDescent="0.25">
      <c r="B382" s="38"/>
      <c r="C382" s="39"/>
    </row>
    <row r="383" spans="2:3" s="40" customFormat="1" ht="15.75" customHeight="1" x14ac:dyDescent="0.25">
      <c r="B383" s="38"/>
      <c r="C383" s="39"/>
    </row>
    <row r="384" spans="2:3" s="40" customFormat="1" ht="15.75" customHeight="1" x14ac:dyDescent="0.25">
      <c r="B384" s="38"/>
      <c r="C384" s="39"/>
    </row>
    <row r="385" spans="2:3" s="40" customFormat="1" ht="15.75" customHeight="1" x14ac:dyDescent="0.25">
      <c r="B385" s="38"/>
      <c r="C385" s="39"/>
    </row>
    <row r="386" spans="2:3" s="40" customFormat="1" ht="15.75" customHeight="1" x14ac:dyDescent="0.25">
      <c r="B386" s="38"/>
      <c r="C386" s="39"/>
    </row>
    <row r="387" spans="2:3" s="40" customFormat="1" ht="15.75" customHeight="1" x14ac:dyDescent="0.25">
      <c r="B387" s="38"/>
      <c r="C387" s="39"/>
    </row>
    <row r="388" spans="2:3" s="40" customFormat="1" ht="15.75" customHeight="1" x14ac:dyDescent="0.25">
      <c r="B388" s="38"/>
      <c r="C388" s="39"/>
    </row>
    <row r="389" spans="2:3" s="40" customFormat="1" ht="15.75" customHeight="1" x14ac:dyDescent="0.25">
      <c r="B389" s="38"/>
      <c r="C389" s="39"/>
    </row>
    <row r="390" spans="2:3" s="40" customFormat="1" ht="15.75" customHeight="1" x14ac:dyDescent="0.25">
      <c r="B390" s="38"/>
      <c r="C390" s="39"/>
    </row>
    <row r="391" spans="2:3" s="40" customFormat="1" ht="15.75" customHeight="1" x14ac:dyDescent="0.25">
      <c r="B391" s="38"/>
      <c r="C391" s="39"/>
    </row>
    <row r="392" spans="2:3" s="40" customFormat="1" ht="15.75" customHeight="1" x14ac:dyDescent="0.25">
      <c r="B392" s="38"/>
      <c r="C392" s="39"/>
    </row>
    <row r="393" spans="2:3" s="40" customFormat="1" ht="15.75" customHeight="1" x14ac:dyDescent="0.25">
      <c r="B393" s="38"/>
      <c r="C393" s="39"/>
    </row>
    <row r="394" spans="2:3" s="40" customFormat="1" ht="15.75" customHeight="1" x14ac:dyDescent="0.25">
      <c r="B394" s="38"/>
      <c r="C394" s="39"/>
    </row>
    <row r="395" spans="2:3" s="40" customFormat="1" ht="15.75" customHeight="1" x14ac:dyDescent="0.25">
      <c r="B395" s="38"/>
      <c r="C395" s="39"/>
    </row>
    <row r="396" spans="2:3" s="40" customFormat="1" ht="15.75" customHeight="1" x14ac:dyDescent="0.25">
      <c r="B396" s="38"/>
      <c r="C396" s="39"/>
    </row>
    <row r="397" spans="2:3" s="40" customFormat="1" ht="15.75" customHeight="1" x14ac:dyDescent="0.25">
      <c r="B397" s="38"/>
      <c r="C397" s="39"/>
    </row>
    <row r="398" spans="2:3" s="40" customFormat="1" ht="15.75" customHeight="1" x14ac:dyDescent="0.25">
      <c r="B398" s="38"/>
      <c r="C398" s="39"/>
    </row>
    <row r="399" spans="2:3" s="40" customFormat="1" ht="15.75" customHeight="1" x14ac:dyDescent="0.25">
      <c r="B399" s="38"/>
      <c r="C399" s="39"/>
    </row>
    <row r="400" spans="2:3" s="40" customFormat="1" ht="15.75" customHeight="1" x14ac:dyDescent="0.25">
      <c r="B400" s="38"/>
      <c r="C400" s="39"/>
    </row>
    <row r="401" spans="2:3" s="40" customFormat="1" ht="15.75" customHeight="1" x14ac:dyDescent="0.25">
      <c r="B401" s="38"/>
      <c r="C401" s="39"/>
    </row>
    <row r="402" spans="2:3" s="40" customFormat="1" ht="15.75" customHeight="1" x14ac:dyDescent="0.25">
      <c r="B402" s="38"/>
      <c r="C402" s="39"/>
    </row>
    <row r="403" spans="2:3" s="40" customFormat="1" ht="15.75" customHeight="1" x14ac:dyDescent="0.25">
      <c r="B403" s="38"/>
      <c r="C403" s="39"/>
    </row>
    <row r="404" spans="2:3" s="40" customFormat="1" ht="15.75" customHeight="1" x14ac:dyDescent="0.25">
      <c r="B404" s="38"/>
      <c r="C404" s="39"/>
    </row>
    <row r="405" spans="2:3" s="40" customFormat="1" ht="15.75" customHeight="1" x14ac:dyDescent="0.25">
      <c r="B405" s="38"/>
      <c r="C405" s="39"/>
    </row>
    <row r="406" spans="2:3" s="40" customFormat="1" ht="15.75" customHeight="1" x14ac:dyDescent="0.25">
      <c r="B406" s="38"/>
      <c r="C406" s="39"/>
    </row>
    <row r="407" spans="2:3" s="40" customFormat="1" ht="15.75" customHeight="1" x14ac:dyDescent="0.25">
      <c r="B407" s="38"/>
      <c r="C407" s="39"/>
    </row>
    <row r="408" spans="2:3" s="40" customFormat="1" ht="15.75" customHeight="1" x14ac:dyDescent="0.25">
      <c r="B408" s="38"/>
      <c r="C408" s="39"/>
    </row>
    <row r="409" spans="2:3" s="40" customFormat="1" ht="15.75" customHeight="1" x14ac:dyDescent="0.25">
      <c r="B409" s="38"/>
      <c r="C409" s="39"/>
    </row>
    <row r="410" spans="2:3" s="40" customFormat="1" ht="15.75" customHeight="1" x14ac:dyDescent="0.25">
      <c r="B410" s="38"/>
      <c r="C410" s="39"/>
    </row>
    <row r="411" spans="2:3" s="40" customFormat="1" ht="15.75" customHeight="1" x14ac:dyDescent="0.25">
      <c r="B411" s="38"/>
      <c r="C411" s="39"/>
    </row>
    <row r="412" spans="2:3" s="40" customFormat="1" ht="15.75" customHeight="1" x14ac:dyDescent="0.25">
      <c r="B412" s="38"/>
      <c r="C412" s="39"/>
    </row>
    <row r="413" spans="2:3" s="40" customFormat="1" ht="15.75" customHeight="1" x14ac:dyDescent="0.25">
      <c r="B413" s="38"/>
      <c r="C413" s="39"/>
    </row>
    <row r="414" spans="2:3" s="40" customFormat="1" ht="15.75" customHeight="1" x14ac:dyDescent="0.25">
      <c r="B414" s="38"/>
      <c r="C414" s="39"/>
    </row>
    <row r="415" spans="2:3" s="40" customFormat="1" ht="15.75" customHeight="1" x14ac:dyDescent="0.25">
      <c r="B415" s="38"/>
      <c r="C415" s="39"/>
    </row>
    <row r="416" spans="2:3" s="40" customFormat="1" ht="15.75" customHeight="1" x14ac:dyDescent="0.25">
      <c r="B416" s="38"/>
      <c r="C416" s="39"/>
    </row>
    <row r="417" spans="2:3" s="40" customFormat="1" ht="15.75" customHeight="1" x14ac:dyDescent="0.25">
      <c r="B417" s="38"/>
      <c r="C417" s="39"/>
    </row>
    <row r="418" spans="2:3" s="40" customFormat="1" ht="15.75" customHeight="1" x14ac:dyDescent="0.25">
      <c r="B418" s="38"/>
      <c r="C418" s="39"/>
    </row>
    <row r="419" spans="2:3" s="40" customFormat="1" ht="15.75" customHeight="1" x14ac:dyDescent="0.25">
      <c r="B419" s="38"/>
      <c r="C419" s="39"/>
    </row>
    <row r="420" spans="2:3" s="40" customFormat="1" ht="15.75" customHeight="1" x14ac:dyDescent="0.25">
      <c r="B420" s="38"/>
      <c r="C420" s="39"/>
    </row>
    <row r="421" spans="2:3" s="40" customFormat="1" ht="15.75" customHeight="1" x14ac:dyDescent="0.25">
      <c r="B421" s="38"/>
      <c r="C421" s="39"/>
    </row>
    <row r="422" spans="2:3" s="40" customFormat="1" ht="15.75" customHeight="1" x14ac:dyDescent="0.25">
      <c r="B422" s="38"/>
      <c r="C422" s="39"/>
    </row>
    <row r="423" spans="2:3" s="40" customFormat="1" ht="15.75" customHeight="1" x14ac:dyDescent="0.25">
      <c r="B423" s="38"/>
      <c r="C423" s="39"/>
    </row>
    <row r="424" spans="2:3" s="40" customFormat="1" ht="15.75" customHeight="1" x14ac:dyDescent="0.25">
      <c r="B424" s="38"/>
      <c r="C424" s="39"/>
    </row>
    <row r="425" spans="2:3" s="40" customFormat="1" ht="15.75" customHeight="1" x14ac:dyDescent="0.25">
      <c r="B425" s="38"/>
      <c r="C425" s="39"/>
    </row>
    <row r="426" spans="2:3" s="40" customFormat="1" ht="15.75" customHeight="1" x14ac:dyDescent="0.25">
      <c r="B426" s="38"/>
      <c r="C426" s="39"/>
    </row>
    <row r="427" spans="2:3" s="40" customFormat="1" ht="15.75" customHeight="1" x14ac:dyDescent="0.25">
      <c r="B427" s="38"/>
      <c r="C427" s="39"/>
    </row>
    <row r="428" spans="2:3" s="40" customFormat="1" ht="15.75" customHeight="1" x14ac:dyDescent="0.25">
      <c r="B428" s="38"/>
      <c r="C428" s="39"/>
    </row>
    <row r="429" spans="2:3" s="40" customFormat="1" ht="15.75" customHeight="1" x14ac:dyDescent="0.25">
      <c r="B429" s="38"/>
      <c r="C429" s="39"/>
    </row>
    <row r="430" spans="2:3" s="40" customFormat="1" ht="15.75" customHeight="1" x14ac:dyDescent="0.25">
      <c r="B430" s="38"/>
      <c r="C430" s="39"/>
    </row>
    <row r="431" spans="2:3" s="40" customFormat="1" ht="15.75" customHeight="1" x14ac:dyDescent="0.25">
      <c r="B431" s="38"/>
      <c r="C431" s="39"/>
    </row>
    <row r="432" spans="2:3" s="40" customFormat="1" ht="15.75" customHeight="1" x14ac:dyDescent="0.25">
      <c r="B432" s="38"/>
      <c r="C432" s="39"/>
    </row>
    <row r="433" spans="2:3" s="40" customFormat="1" ht="15.75" customHeight="1" x14ac:dyDescent="0.25">
      <c r="B433" s="38"/>
      <c r="C433" s="39"/>
    </row>
    <row r="434" spans="2:3" s="40" customFormat="1" ht="15.75" customHeight="1" x14ac:dyDescent="0.25">
      <c r="B434" s="38"/>
      <c r="C434" s="39"/>
    </row>
    <row r="435" spans="2:3" s="40" customFormat="1" ht="15.75" customHeight="1" x14ac:dyDescent="0.25">
      <c r="B435" s="38"/>
      <c r="C435" s="39"/>
    </row>
    <row r="436" spans="2:3" s="40" customFormat="1" ht="15.75" customHeight="1" x14ac:dyDescent="0.25">
      <c r="B436" s="38"/>
      <c r="C436" s="39"/>
    </row>
    <row r="437" spans="2:3" s="40" customFormat="1" ht="15.75" customHeight="1" x14ac:dyDescent="0.25">
      <c r="B437" s="38"/>
      <c r="C437" s="39"/>
    </row>
    <row r="438" spans="2:3" s="40" customFormat="1" ht="15.75" customHeight="1" x14ac:dyDescent="0.25">
      <c r="B438" s="38"/>
      <c r="C438" s="39"/>
    </row>
    <row r="439" spans="2:3" s="40" customFormat="1" ht="15.75" customHeight="1" x14ac:dyDescent="0.25">
      <c r="B439" s="38"/>
      <c r="C439" s="39"/>
    </row>
    <row r="440" spans="2:3" s="40" customFormat="1" ht="15.75" customHeight="1" x14ac:dyDescent="0.25">
      <c r="B440" s="38"/>
      <c r="C440" s="39"/>
    </row>
    <row r="441" spans="2:3" s="40" customFormat="1" ht="15.75" customHeight="1" x14ac:dyDescent="0.25">
      <c r="B441" s="38"/>
      <c r="C441" s="39"/>
    </row>
    <row r="442" spans="2:3" s="40" customFormat="1" ht="15.75" customHeight="1" x14ac:dyDescent="0.25">
      <c r="B442" s="38"/>
      <c r="C442" s="39"/>
    </row>
    <row r="443" spans="2:3" s="40" customFormat="1" ht="15.75" customHeight="1" x14ac:dyDescent="0.25">
      <c r="B443" s="38"/>
      <c r="C443" s="39"/>
    </row>
    <row r="444" spans="2:3" s="40" customFormat="1" ht="15.75" customHeight="1" x14ac:dyDescent="0.25">
      <c r="B444" s="38"/>
      <c r="C444" s="39"/>
    </row>
    <row r="445" spans="2:3" s="40" customFormat="1" ht="15.75" customHeight="1" x14ac:dyDescent="0.25">
      <c r="B445" s="38"/>
      <c r="C445" s="39"/>
    </row>
    <row r="446" spans="2:3" s="40" customFormat="1" ht="15.75" customHeight="1" x14ac:dyDescent="0.25">
      <c r="B446" s="38"/>
      <c r="C446" s="39"/>
    </row>
    <row r="447" spans="2:3" s="40" customFormat="1" ht="15.75" customHeight="1" x14ac:dyDescent="0.25">
      <c r="B447" s="38"/>
      <c r="C447" s="39"/>
    </row>
    <row r="448" spans="2:3" s="40" customFormat="1" ht="15.75" customHeight="1" x14ac:dyDescent="0.25">
      <c r="B448" s="38"/>
      <c r="C448" s="39"/>
    </row>
    <row r="449" spans="2:3" s="40" customFormat="1" ht="15.75" customHeight="1" x14ac:dyDescent="0.25">
      <c r="B449" s="38"/>
      <c r="C449" s="39"/>
    </row>
    <row r="450" spans="2:3" s="40" customFormat="1" ht="15.75" customHeight="1" x14ac:dyDescent="0.25">
      <c r="B450" s="38"/>
      <c r="C450" s="39"/>
    </row>
    <row r="451" spans="2:3" s="40" customFormat="1" ht="15.75" customHeight="1" x14ac:dyDescent="0.25">
      <c r="B451" s="38"/>
      <c r="C451" s="39"/>
    </row>
    <row r="452" spans="2:3" s="40" customFormat="1" ht="15.75" customHeight="1" x14ac:dyDescent="0.25">
      <c r="B452" s="38"/>
      <c r="C452" s="39"/>
    </row>
    <row r="453" spans="2:3" s="40" customFormat="1" ht="15.75" customHeight="1" x14ac:dyDescent="0.25">
      <c r="B453" s="38"/>
      <c r="C453" s="39"/>
    </row>
    <row r="454" spans="2:3" s="40" customFormat="1" ht="15.75" customHeight="1" x14ac:dyDescent="0.25">
      <c r="B454" s="38"/>
      <c r="C454" s="39"/>
    </row>
    <row r="455" spans="2:3" s="40" customFormat="1" ht="15.75" customHeight="1" x14ac:dyDescent="0.25">
      <c r="B455" s="38"/>
      <c r="C455" s="39"/>
    </row>
    <row r="456" spans="2:3" s="40" customFormat="1" ht="15.75" customHeight="1" x14ac:dyDescent="0.25">
      <c r="B456" s="38"/>
      <c r="C456" s="39"/>
    </row>
    <row r="457" spans="2:3" s="40" customFormat="1" ht="15.75" customHeight="1" x14ac:dyDescent="0.25">
      <c r="B457" s="38"/>
      <c r="C457" s="39"/>
    </row>
    <row r="458" spans="2:3" s="40" customFormat="1" ht="15.75" customHeight="1" x14ac:dyDescent="0.25">
      <c r="B458" s="38"/>
      <c r="C458" s="39"/>
    </row>
    <row r="459" spans="2:3" s="40" customFormat="1" ht="15.75" customHeight="1" x14ac:dyDescent="0.25">
      <c r="B459" s="38"/>
      <c r="C459" s="39"/>
    </row>
    <row r="460" spans="2:3" s="40" customFormat="1" ht="15.75" customHeight="1" x14ac:dyDescent="0.25">
      <c r="B460" s="38"/>
      <c r="C460" s="39"/>
    </row>
    <row r="461" spans="2:3" s="40" customFormat="1" ht="15.75" customHeight="1" x14ac:dyDescent="0.25">
      <c r="B461" s="38"/>
      <c r="C461" s="39"/>
    </row>
    <row r="462" spans="2:3" s="40" customFormat="1" ht="15.75" customHeight="1" x14ac:dyDescent="0.25">
      <c r="B462" s="38"/>
      <c r="C462" s="39"/>
    </row>
    <row r="463" spans="2:3" s="40" customFormat="1" ht="15.75" customHeight="1" x14ac:dyDescent="0.25">
      <c r="B463" s="38"/>
      <c r="C463" s="39"/>
    </row>
    <row r="464" spans="2:3" s="40" customFormat="1" ht="15.75" customHeight="1" x14ac:dyDescent="0.25">
      <c r="B464" s="38"/>
      <c r="C464" s="39"/>
    </row>
    <row r="465" spans="2:3" s="40" customFormat="1" ht="15.75" customHeight="1" x14ac:dyDescent="0.25">
      <c r="B465" s="38"/>
      <c r="C465" s="39"/>
    </row>
    <row r="466" spans="2:3" s="40" customFormat="1" ht="15.75" customHeight="1" x14ac:dyDescent="0.25">
      <c r="B466" s="38"/>
      <c r="C466" s="39"/>
    </row>
    <row r="467" spans="2:3" s="40" customFormat="1" ht="15.75" customHeight="1" x14ac:dyDescent="0.25">
      <c r="B467" s="38"/>
      <c r="C467" s="39"/>
    </row>
    <row r="468" spans="2:3" s="40" customFormat="1" ht="15.75" customHeight="1" x14ac:dyDescent="0.25">
      <c r="B468" s="38"/>
      <c r="C468" s="39"/>
    </row>
    <row r="469" spans="2:3" s="40" customFormat="1" ht="15.75" customHeight="1" x14ac:dyDescent="0.25">
      <c r="B469" s="38"/>
      <c r="C469" s="39"/>
    </row>
    <row r="470" spans="2:3" s="40" customFormat="1" ht="15.75" customHeight="1" x14ac:dyDescent="0.25">
      <c r="B470" s="38"/>
      <c r="C470" s="39"/>
    </row>
    <row r="471" spans="2:3" s="40" customFormat="1" ht="15.75" customHeight="1" x14ac:dyDescent="0.25">
      <c r="B471" s="38"/>
      <c r="C471" s="39"/>
    </row>
    <row r="472" spans="2:3" s="40" customFormat="1" ht="15.75" customHeight="1" x14ac:dyDescent="0.25">
      <c r="B472" s="38"/>
      <c r="C472" s="39"/>
    </row>
    <row r="473" spans="2:3" s="40" customFormat="1" ht="15.75" customHeight="1" x14ac:dyDescent="0.25">
      <c r="B473" s="38"/>
      <c r="C473" s="39"/>
    </row>
    <row r="474" spans="2:3" s="40" customFormat="1" ht="15.75" customHeight="1" x14ac:dyDescent="0.25">
      <c r="B474" s="38"/>
      <c r="C474" s="39"/>
    </row>
    <row r="475" spans="2:3" s="40" customFormat="1" ht="15.75" customHeight="1" x14ac:dyDescent="0.25">
      <c r="B475" s="38"/>
      <c r="C475" s="39"/>
    </row>
    <row r="476" spans="2:3" s="40" customFormat="1" ht="15.75" customHeight="1" x14ac:dyDescent="0.25">
      <c r="B476" s="38"/>
      <c r="C476" s="39"/>
    </row>
    <row r="477" spans="2:3" s="40" customFormat="1" ht="15.75" customHeight="1" x14ac:dyDescent="0.25">
      <c r="B477" s="38"/>
      <c r="C477" s="39"/>
    </row>
    <row r="478" spans="2:3" s="40" customFormat="1" ht="15.75" customHeight="1" x14ac:dyDescent="0.25">
      <c r="B478" s="38"/>
      <c r="C478" s="39"/>
    </row>
    <row r="479" spans="2:3" s="40" customFormat="1" ht="15.75" customHeight="1" x14ac:dyDescent="0.25">
      <c r="B479" s="38"/>
      <c r="C479" s="39"/>
    </row>
    <row r="480" spans="2:3" s="40" customFormat="1" ht="15.75" customHeight="1" x14ac:dyDescent="0.25">
      <c r="B480" s="38"/>
      <c r="C480" s="39"/>
    </row>
    <row r="481" spans="2:3" s="40" customFormat="1" ht="15.75" customHeight="1" x14ac:dyDescent="0.25">
      <c r="B481" s="38"/>
      <c r="C481" s="39"/>
    </row>
    <row r="482" spans="2:3" s="40" customFormat="1" ht="15.75" customHeight="1" x14ac:dyDescent="0.25">
      <c r="B482" s="38"/>
      <c r="C482" s="39"/>
    </row>
    <row r="483" spans="2:3" s="40" customFormat="1" ht="15.75" customHeight="1" x14ac:dyDescent="0.25">
      <c r="B483" s="38"/>
      <c r="C483" s="39"/>
    </row>
    <row r="484" spans="2:3" s="40" customFormat="1" ht="15.75" customHeight="1" x14ac:dyDescent="0.25">
      <c r="B484" s="38"/>
      <c r="C484" s="39"/>
    </row>
    <row r="485" spans="2:3" s="40" customFormat="1" ht="15.75" customHeight="1" x14ac:dyDescent="0.25">
      <c r="B485" s="38"/>
      <c r="C485" s="39"/>
    </row>
    <row r="486" spans="2:3" s="40" customFormat="1" ht="15.75" customHeight="1" x14ac:dyDescent="0.25">
      <c r="B486" s="38"/>
      <c r="C486" s="39"/>
    </row>
    <row r="487" spans="2:3" s="40" customFormat="1" ht="15.75" customHeight="1" x14ac:dyDescent="0.25">
      <c r="B487" s="38"/>
      <c r="C487" s="39"/>
    </row>
    <row r="488" spans="2:3" s="40" customFormat="1" ht="15.75" customHeight="1" x14ac:dyDescent="0.25">
      <c r="B488" s="38"/>
      <c r="C488" s="39"/>
    </row>
    <row r="489" spans="2:3" s="40" customFormat="1" ht="15.75" customHeight="1" x14ac:dyDescent="0.25">
      <c r="B489" s="38"/>
      <c r="C489" s="39"/>
    </row>
    <row r="490" spans="2:3" s="40" customFormat="1" ht="15.75" customHeight="1" x14ac:dyDescent="0.25">
      <c r="B490" s="38"/>
      <c r="C490" s="39"/>
    </row>
    <row r="491" spans="2:3" s="40" customFormat="1" ht="15.75" customHeight="1" x14ac:dyDescent="0.25">
      <c r="B491" s="38"/>
      <c r="C491" s="39"/>
    </row>
    <row r="492" spans="2:3" s="40" customFormat="1" ht="15.75" customHeight="1" x14ac:dyDescent="0.25">
      <c r="B492" s="38"/>
      <c r="C492" s="39"/>
    </row>
    <row r="493" spans="2:3" s="40" customFormat="1" ht="15.75" customHeight="1" x14ac:dyDescent="0.25">
      <c r="B493" s="38"/>
      <c r="C493" s="39"/>
    </row>
    <row r="494" spans="2:3" s="40" customFormat="1" ht="15.75" customHeight="1" x14ac:dyDescent="0.25">
      <c r="B494" s="38"/>
      <c r="C494" s="39"/>
    </row>
    <row r="495" spans="2:3" s="40" customFormat="1" ht="15.75" customHeight="1" x14ac:dyDescent="0.25">
      <c r="B495" s="38"/>
      <c r="C495" s="39"/>
    </row>
    <row r="496" spans="2:3" s="40" customFormat="1" ht="15.75" customHeight="1" x14ac:dyDescent="0.25">
      <c r="B496" s="38"/>
      <c r="C496" s="39"/>
    </row>
    <row r="497" spans="2:3" s="40" customFormat="1" ht="15.75" customHeight="1" x14ac:dyDescent="0.25">
      <c r="B497" s="38"/>
      <c r="C497" s="39"/>
    </row>
    <row r="498" spans="2:3" s="40" customFormat="1" ht="15.75" customHeight="1" x14ac:dyDescent="0.25">
      <c r="B498" s="38"/>
      <c r="C498" s="39"/>
    </row>
    <row r="499" spans="2:3" s="40" customFormat="1" ht="15.75" customHeight="1" x14ac:dyDescent="0.25">
      <c r="B499" s="38"/>
      <c r="C499" s="39"/>
    </row>
    <row r="500" spans="2:3" s="40" customFormat="1" ht="15.75" customHeight="1" x14ac:dyDescent="0.25">
      <c r="B500" s="38"/>
      <c r="C500" s="39"/>
    </row>
    <row r="501" spans="2:3" s="40" customFormat="1" ht="15.75" customHeight="1" x14ac:dyDescent="0.25">
      <c r="B501" s="38"/>
      <c r="C501" s="39"/>
    </row>
    <row r="502" spans="2:3" s="40" customFormat="1" ht="15.75" customHeight="1" x14ac:dyDescent="0.25">
      <c r="B502" s="38"/>
      <c r="C502" s="39"/>
    </row>
    <row r="503" spans="2:3" s="40" customFormat="1" ht="15.75" customHeight="1" x14ac:dyDescent="0.25">
      <c r="B503" s="38"/>
      <c r="C503" s="39"/>
    </row>
    <row r="504" spans="2:3" s="40" customFormat="1" ht="15.75" customHeight="1" x14ac:dyDescent="0.25">
      <c r="B504" s="38"/>
      <c r="C504" s="39"/>
    </row>
    <row r="505" spans="2:3" s="40" customFormat="1" ht="15.75" customHeight="1" x14ac:dyDescent="0.25">
      <c r="B505" s="38"/>
      <c r="C505" s="39"/>
    </row>
    <row r="506" spans="2:3" s="40" customFormat="1" ht="15.75" customHeight="1" x14ac:dyDescent="0.25">
      <c r="B506" s="38"/>
      <c r="C506" s="39"/>
    </row>
    <row r="507" spans="2:3" s="40" customFormat="1" ht="15.75" customHeight="1" x14ac:dyDescent="0.25">
      <c r="B507" s="38"/>
      <c r="C507" s="39"/>
    </row>
    <row r="508" spans="2:3" s="40" customFormat="1" ht="15.75" customHeight="1" x14ac:dyDescent="0.25">
      <c r="B508" s="38"/>
      <c r="C508" s="39"/>
    </row>
    <row r="509" spans="2:3" s="40" customFormat="1" ht="15.75" customHeight="1" x14ac:dyDescent="0.25">
      <c r="B509" s="38"/>
      <c r="C509" s="39"/>
    </row>
    <row r="510" spans="2:3" s="40" customFormat="1" ht="15.75" customHeight="1" x14ac:dyDescent="0.25">
      <c r="B510" s="38"/>
      <c r="C510" s="39"/>
    </row>
    <row r="511" spans="2:3" s="40" customFormat="1" ht="15.75" customHeight="1" x14ac:dyDescent="0.25">
      <c r="B511" s="38"/>
      <c r="C511" s="39"/>
    </row>
    <row r="512" spans="2:3" s="40" customFormat="1" ht="15.75" customHeight="1" x14ac:dyDescent="0.25">
      <c r="B512" s="38"/>
      <c r="C512" s="39"/>
    </row>
    <row r="513" spans="2:3" s="40" customFormat="1" ht="15.75" customHeight="1" x14ac:dyDescent="0.25">
      <c r="B513" s="38"/>
      <c r="C513" s="39"/>
    </row>
    <row r="514" spans="2:3" s="40" customFormat="1" ht="15.75" customHeight="1" x14ac:dyDescent="0.25">
      <c r="B514" s="38"/>
      <c r="C514" s="39"/>
    </row>
    <row r="515" spans="2:3" s="40" customFormat="1" ht="15.75" customHeight="1" x14ac:dyDescent="0.25">
      <c r="B515" s="38"/>
      <c r="C515" s="39"/>
    </row>
    <row r="516" spans="2:3" s="40" customFormat="1" ht="15.75" customHeight="1" x14ac:dyDescent="0.25">
      <c r="B516" s="38"/>
      <c r="C516" s="39"/>
    </row>
    <row r="517" spans="2:3" s="40" customFormat="1" ht="15.75" customHeight="1" x14ac:dyDescent="0.25">
      <c r="B517" s="38"/>
      <c r="C517" s="39"/>
    </row>
    <row r="518" spans="2:3" s="40" customFormat="1" ht="15.75" customHeight="1" x14ac:dyDescent="0.25">
      <c r="B518" s="38"/>
      <c r="C518" s="39"/>
    </row>
    <row r="519" spans="2:3" s="40" customFormat="1" ht="15.75" customHeight="1" x14ac:dyDescent="0.25">
      <c r="B519" s="38"/>
      <c r="C519" s="39"/>
    </row>
    <row r="520" spans="2:3" s="40" customFormat="1" ht="15.75" customHeight="1" x14ac:dyDescent="0.25">
      <c r="B520" s="38"/>
      <c r="C520" s="39"/>
    </row>
    <row r="521" spans="2:3" s="40" customFormat="1" ht="15.75" customHeight="1" x14ac:dyDescent="0.25">
      <c r="B521" s="38"/>
      <c r="C521" s="39"/>
    </row>
    <row r="522" spans="2:3" s="40" customFormat="1" ht="15.75" customHeight="1" x14ac:dyDescent="0.25">
      <c r="B522" s="38"/>
      <c r="C522" s="39"/>
    </row>
    <row r="523" spans="2:3" s="40" customFormat="1" ht="15.75" customHeight="1" x14ac:dyDescent="0.25">
      <c r="B523" s="38"/>
      <c r="C523" s="39"/>
    </row>
    <row r="524" spans="2:3" s="40" customFormat="1" ht="15.75" customHeight="1" x14ac:dyDescent="0.25">
      <c r="B524" s="38"/>
      <c r="C524" s="39"/>
    </row>
    <row r="525" spans="2:3" s="40" customFormat="1" ht="15.75" customHeight="1" x14ac:dyDescent="0.25">
      <c r="B525" s="38"/>
      <c r="C525" s="39"/>
    </row>
    <row r="526" spans="2:3" s="40" customFormat="1" ht="15.75" customHeight="1" x14ac:dyDescent="0.25">
      <c r="B526" s="38"/>
      <c r="C526" s="39"/>
    </row>
    <row r="527" spans="2:3" s="40" customFormat="1" ht="15.75" customHeight="1" x14ac:dyDescent="0.25">
      <c r="B527" s="38"/>
      <c r="C527" s="39"/>
    </row>
    <row r="528" spans="2:3" s="40" customFormat="1" ht="15.75" customHeight="1" x14ac:dyDescent="0.25">
      <c r="B528" s="38"/>
      <c r="C528" s="39"/>
    </row>
    <row r="529" spans="2:3" s="40" customFormat="1" ht="15.75" customHeight="1" x14ac:dyDescent="0.25">
      <c r="B529" s="38"/>
      <c r="C529" s="39"/>
    </row>
    <row r="530" spans="2:3" s="40" customFormat="1" ht="15.75" customHeight="1" x14ac:dyDescent="0.25">
      <c r="B530" s="38"/>
      <c r="C530" s="39"/>
    </row>
    <row r="531" spans="2:3" s="40" customFormat="1" ht="15.75" customHeight="1" x14ac:dyDescent="0.25">
      <c r="B531" s="38"/>
      <c r="C531" s="39"/>
    </row>
    <row r="532" spans="2:3" s="40" customFormat="1" ht="15.75" customHeight="1" x14ac:dyDescent="0.25">
      <c r="B532" s="38"/>
      <c r="C532" s="39"/>
    </row>
    <row r="533" spans="2:3" s="40" customFormat="1" ht="15.75" customHeight="1" x14ac:dyDescent="0.25">
      <c r="B533" s="38"/>
      <c r="C533" s="39"/>
    </row>
    <row r="534" spans="2:3" s="40" customFormat="1" ht="15.75" customHeight="1" x14ac:dyDescent="0.25">
      <c r="B534" s="38"/>
      <c r="C534" s="39"/>
    </row>
    <row r="535" spans="2:3" s="40" customFormat="1" ht="15.75" customHeight="1" x14ac:dyDescent="0.25">
      <c r="B535" s="38"/>
      <c r="C535" s="39"/>
    </row>
    <row r="536" spans="2:3" s="40" customFormat="1" ht="15.75" customHeight="1" x14ac:dyDescent="0.25">
      <c r="B536" s="38"/>
      <c r="C536" s="39"/>
    </row>
    <row r="537" spans="2:3" s="40" customFormat="1" ht="15.75" customHeight="1" x14ac:dyDescent="0.25">
      <c r="B537" s="38"/>
      <c r="C537" s="39"/>
    </row>
    <row r="538" spans="2:3" s="40" customFormat="1" ht="15.75" customHeight="1" x14ac:dyDescent="0.25">
      <c r="B538" s="38"/>
      <c r="C538" s="39"/>
    </row>
    <row r="539" spans="2:3" s="40" customFormat="1" ht="15.75" customHeight="1" x14ac:dyDescent="0.25">
      <c r="B539" s="38"/>
      <c r="C539" s="39"/>
    </row>
    <row r="540" spans="2:3" s="40" customFormat="1" ht="15.75" customHeight="1" x14ac:dyDescent="0.25">
      <c r="B540" s="38"/>
      <c r="C540" s="39"/>
    </row>
    <row r="541" spans="2:3" s="40" customFormat="1" ht="15.75" customHeight="1" x14ac:dyDescent="0.25">
      <c r="B541" s="38"/>
      <c r="C541" s="39"/>
    </row>
    <row r="542" spans="2:3" s="40" customFormat="1" ht="15.75" customHeight="1" x14ac:dyDescent="0.25">
      <c r="B542" s="38"/>
      <c r="C542" s="39"/>
    </row>
    <row r="543" spans="2:3" s="40" customFormat="1" ht="15.75" customHeight="1" x14ac:dyDescent="0.25">
      <c r="B543" s="38"/>
      <c r="C543" s="39"/>
    </row>
    <row r="544" spans="2:3" s="40" customFormat="1" ht="15.75" customHeight="1" x14ac:dyDescent="0.25">
      <c r="B544" s="38"/>
      <c r="C544" s="39"/>
    </row>
    <row r="545" spans="2:3" s="40" customFormat="1" ht="15.75" customHeight="1" x14ac:dyDescent="0.25">
      <c r="B545" s="38"/>
      <c r="C545" s="39"/>
    </row>
    <row r="546" spans="2:3" s="40" customFormat="1" ht="15.75" customHeight="1" x14ac:dyDescent="0.25">
      <c r="B546" s="38"/>
      <c r="C546" s="39"/>
    </row>
    <row r="547" spans="2:3" s="40" customFormat="1" ht="15.75" customHeight="1" x14ac:dyDescent="0.25">
      <c r="B547" s="38"/>
      <c r="C547" s="39"/>
    </row>
    <row r="548" spans="2:3" s="40" customFormat="1" ht="15.75" customHeight="1" x14ac:dyDescent="0.25">
      <c r="B548" s="38"/>
      <c r="C548" s="39"/>
    </row>
    <row r="549" spans="2:3" s="40" customFormat="1" ht="15.75" customHeight="1" x14ac:dyDescent="0.25">
      <c r="B549" s="38"/>
      <c r="C549" s="39"/>
    </row>
    <row r="550" spans="2:3" s="40" customFormat="1" ht="15.75" customHeight="1" x14ac:dyDescent="0.25">
      <c r="B550" s="38"/>
      <c r="C550" s="39"/>
    </row>
    <row r="551" spans="2:3" s="40" customFormat="1" ht="15.75" customHeight="1" x14ac:dyDescent="0.25">
      <c r="B551" s="38"/>
      <c r="C551" s="39"/>
    </row>
    <row r="552" spans="2:3" s="40" customFormat="1" ht="15.75" customHeight="1" x14ac:dyDescent="0.25">
      <c r="B552" s="38"/>
      <c r="C552" s="39"/>
    </row>
    <row r="553" spans="2:3" s="40" customFormat="1" ht="15.75" customHeight="1" x14ac:dyDescent="0.25">
      <c r="B553" s="38"/>
      <c r="C553" s="39"/>
    </row>
    <row r="554" spans="2:3" s="40" customFormat="1" ht="15.75" customHeight="1" x14ac:dyDescent="0.25">
      <c r="B554" s="38"/>
      <c r="C554" s="39"/>
    </row>
    <row r="555" spans="2:3" s="40" customFormat="1" ht="15.75" customHeight="1" x14ac:dyDescent="0.25">
      <c r="B555" s="38"/>
      <c r="C555" s="39"/>
    </row>
    <row r="556" spans="2:3" s="40" customFormat="1" ht="15.75" customHeight="1" x14ac:dyDescent="0.25">
      <c r="B556" s="38"/>
      <c r="C556" s="39"/>
    </row>
    <row r="557" spans="2:3" s="40" customFormat="1" ht="15.75" customHeight="1" x14ac:dyDescent="0.25">
      <c r="B557" s="38"/>
      <c r="C557" s="39"/>
    </row>
    <row r="558" spans="2:3" s="40" customFormat="1" ht="15.75" customHeight="1" x14ac:dyDescent="0.25">
      <c r="B558" s="38"/>
      <c r="C558" s="39"/>
    </row>
    <row r="559" spans="2:3" s="40" customFormat="1" ht="15.75" customHeight="1" x14ac:dyDescent="0.25">
      <c r="B559" s="38"/>
      <c r="C559" s="39"/>
    </row>
    <row r="560" spans="2:3" s="40" customFormat="1" ht="15.75" customHeight="1" x14ac:dyDescent="0.25">
      <c r="B560" s="38"/>
      <c r="C560" s="39"/>
    </row>
    <row r="561" spans="2:3" s="40" customFormat="1" ht="15.75" customHeight="1" x14ac:dyDescent="0.25">
      <c r="B561" s="38"/>
      <c r="C561" s="39"/>
    </row>
    <row r="562" spans="2:3" s="40" customFormat="1" ht="15.75" customHeight="1" x14ac:dyDescent="0.25">
      <c r="B562" s="38"/>
      <c r="C562" s="39"/>
    </row>
    <row r="563" spans="2:3" s="40" customFormat="1" ht="15.75" customHeight="1" x14ac:dyDescent="0.25">
      <c r="B563" s="38"/>
      <c r="C563" s="39"/>
    </row>
    <row r="564" spans="2:3" s="40" customFormat="1" ht="15.75" customHeight="1" x14ac:dyDescent="0.25">
      <c r="B564" s="38"/>
      <c r="C564" s="39"/>
    </row>
    <row r="565" spans="2:3" s="40" customFormat="1" ht="15.75" customHeight="1" x14ac:dyDescent="0.25">
      <c r="B565" s="38"/>
      <c r="C565" s="39"/>
    </row>
    <row r="566" spans="2:3" s="40" customFormat="1" ht="15.75" customHeight="1" x14ac:dyDescent="0.25">
      <c r="B566" s="38"/>
      <c r="C566" s="39"/>
    </row>
    <row r="567" spans="2:3" s="40" customFormat="1" ht="15.75" customHeight="1" x14ac:dyDescent="0.25">
      <c r="B567" s="38"/>
      <c r="C567" s="39"/>
    </row>
    <row r="568" spans="2:3" s="40" customFormat="1" ht="15.75" customHeight="1" x14ac:dyDescent="0.25">
      <c r="B568" s="38"/>
      <c r="C568" s="39"/>
    </row>
    <row r="569" spans="2:3" s="40" customFormat="1" ht="15.75" customHeight="1" x14ac:dyDescent="0.25">
      <c r="B569" s="38"/>
      <c r="C569" s="39"/>
    </row>
    <row r="570" spans="2:3" s="40" customFormat="1" ht="15.75" customHeight="1" x14ac:dyDescent="0.25">
      <c r="B570" s="38"/>
      <c r="C570" s="39"/>
    </row>
    <row r="571" spans="2:3" s="40" customFormat="1" ht="15.75" customHeight="1" x14ac:dyDescent="0.25">
      <c r="B571" s="38"/>
      <c r="C571" s="39"/>
    </row>
    <row r="572" spans="2:3" s="40" customFormat="1" ht="15.75" customHeight="1" x14ac:dyDescent="0.25">
      <c r="B572" s="38"/>
      <c r="C572" s="39"/>
    </row>
    <row r="573" spans="2:3" s="40" customFormat="1" ht="15.75" customHeight="1" x14ac:dyDescent="0.25">
      <c r="B573" s="38"/>
      <c r="C573" s="39"/>
    </row>
    <row r="574" spans="2:3" s="40" customFormat="1" ht="15.75" customHeight="1" x14ac:dyDescent="0.25">
      <c r="B574" s="38"/>
      <c r="C574" s="39"/>
    </row>
    <row r="575" spans="2:3" s="40" customFormat="1" ht="15.75" customHeight="1" x14ac:dyDescent="0.25">
      <c r="B575" s="38"/>
      <c r="C575" s="39"/>
    </row>
    <row r="576" spans="2:3" s="40" customFormat="1" ht="15.75" customHeight="1" x14ac:dyDescent="0.25">
      <c r="B576" s="38"/>
      <c r="C576" s="39"/>
    </row>
    <row r="577" spans="2:3" s="40" customFormat="1" ht="15.75" customHeight="1" x14ac:dyDescent="0.25">
      <c r="B577" s="38"/>
      <c r="C577" s="39"/>
    </row>
    <row r="578" spans="2:3" s="40" customFormat="1" ht="15.75" customHeight="1" x14ac:dyDescent="0.25">
      <c r="B578" s="38"/>
      <c r="C578" s="39"/>
    </row>
    <row r="579" spans="2:3" s="40" customFormat="1" ht="15.75" customHeight="1" x14ac:dyDescent="0.25">
      <c r="B579" s="38"/>
      <c r="C579" s="39"/>
    </row>
    <row r="580" spans="2:3" s="40" customFormat="1" ht="15.75" customHeight="1" x14ac:dyDescent="0.25">
      <c r="B580" s="38"/>
      <c r="C580" s="39"/>
    </row>
    <row r="581" spans="2:3" s="40" customFormat="1" ht="15.75" customHeight="1" x14ac:dyDescent="0.25">
      <c r="B581" s="38"/>
      <c r="C581" s="39"/>
    </row>
    <row r="582" spans="2:3" s="40" customFormat="1" ht="15.75" customHeight="1" x14ac:dyDescent="0.25">
      <c r="B582" s="38"/>
      <c r="C582" s="39"/>
    </row>
    <row r="583" spans="2:3" s="40" customFormat="1" ht="15.75" customHeight="1" x14ac:dyDescent="0.25">
      <c r="B583" s="38"/>
      <c r="C583" s="39"/>
    </row>
    <row r="584" spans="2:3" s="40" customFormat="1" ht="15.75" customHeight="1" x14ac:dyDescent="0.25">
      <c r="B584" s="38"/>
      <c r="C584" s="39"/>
    </row>
    <row r="585" spans="2:3" s="40" customFormat="1" ht="15.75" customHeight="1" x14ac:dyDescent="0.25">
      <c r="B585" s="38"/>
      <c r="C585" s="39"/>
    </row>
    <row r="586" spans="2:3" s="40" customFormat="1" ht="15.75" customHeight="1" x14ac:dyDescent="0.25">
      <c r="B586" s="38"/>
      <c r="C586" s="39"/>
    </row>
    <row r="587" spans="2:3" s="40" customFormat="1" ht="15.75" customHeight="1" x14ac:dyDescent="0.25">
      <c r="B587" s="38"/>
      <c r="C587" s="39"/>
    </row>
    <row r="588" spans="2:3" s="40" customFormat="1" ht="15.75" customHeight="1" x14ac:dyDescent="0.25">
      <c r="B588" s="38"/>
      <c r="C588" s="39"/>
    </row>
    <row r="589" spans="2:3" s="40" customFormat="1" ht="15.75" customHeight="1" x14ac:dyDescent="0.25">
      <c r="B589" s="38"/>
      <c r="C589" s="39"/>
    </row>
    <row r="590" spans="2:3" s="40" customFormat="1" ht="15.75" customHeight="1" x14ac:dyDescent="0.25">
      <c r="B590" s="38"/>
      <c r="C590" s="39"/>
    </row>
    <row r="591" spans="2:3" s="40" customFormat="1" ht="15.75" customHeight="1" x14ac:dyDescent="0.25">
      <c r="B591" s="38"/>
      <c r="C591" s="39"/>
    </row>
    <row r="592" spans="2:3" s="40" customFormat="1" ht="15.75" customHeight="1" x14ac:dyDescent="0.25">
      <c r="B592" s="38"/>
      <c r="C592" s="39"/>
    </row>
    <row r="593" spans="2:3" s="40" customFormat="1" ht="15.75" customHeight="1" x14ac:dyDescent="0.25">
      <c r="B593" s="38"/>
      <c r="C593" s="39"/>
    </row>
    <row r="594" spans="2:3" s="40" customFormat="1" ht="15.75" customHeight="1" x14ac:dyDescent="0.25">
      <c r="B594" s="38"/>
      <c r="C594" s="39"/>
    </row>
    <row r="595" spans="2:3" s="40" customFormat="1" ht="15.75" customHeight="1" x14ac:dyDescent="0.25">
      <c r="B595" s="38"/>
      <c r="C595" s="39"/>
    </row>
    <row r="596" spans="2:3" s="40" customFormat="1" ht="15.75" customHeight="1" x14ac:dyDescent="0.25">
      <c r="B596" s="38"/>
      <c r="C596" s="39"/>
    </row>
    <row r="597" spans="2:3" s="40" customFormat="1" ht="15.75" customHeight="1" x14ac:dyDescent="0.25">
      <c r="B597" s="38"/>
      <c r="C597" s="39"/>
    </row>
    <row r="598" spans="2:3" s="40" customFormat="1" ht="15.75" customHeight="1" x14ac:dyDescent="0.25">
      <c r="B598" s="38"/>
      <c r="C598" s="39"/>
    </row>
    <row r="599" spans="2:3" s="40" customFormat="1" ht="15.75" customHeight="1" x14ac:dyDescent="0.25">
      <c r="B599" s="38"/>
      <c r="C599" s="39"/>
    </row>
    <row r="600" spans="2:3" s="40" customFormat="1" ht="15.75" customHeight="1" x14ac:dyDescent="0.25">
      <c r="B600" s="38"/>
      <c r="C600" s="39"/>
    </row>
    <row r="601" spans="2:3" s="40" customFormat="1" ht="15.75" customHeight="1" x14ac:dyDescent="0.25">
      <c r="B601" s="38"/>
      <c r="C601" s="39"/>
    </row>
    <row r="602" spans="2:3" s="40" customFormat="1" ht="15.75" customHeight="1" x14ac:dyDescent="0.25">
      <c r="B602" s="38"/>
      <c r="C602" s="39"/>
    </row>
    <row r="603" spans="2:3" s="40" customFormat="1" ht="15.75" customHeight="1" x14ac:dyDescent="0.25">
      <c r="B603" s="38"/>
      <c r="C603" s="39"/>
    </row>
    <row r="604" spans="2:3" s="40" customFormat="1" ht="15.75" customHeight="1" x14ac:dyDescent="0.25">
      <c r="B604" s="38"/>
      <c r="C604" s="39"/>
    </row>
    <row r="605" spans="2:3" s="40" customFormat="1" ht="15.75" customHeight="1" x14ac:dyDescent="0.25">
      <c r="B605" s="38"/>
      <c r="C605" s="39"/>
    </row>
    <row r="606" spans="2:3" s="40" customFormat="1" ht="15.75" customHeight="1" x14ac:dyDescent="0.25">
      <c r="B606" s="38"/>
      <c r="C606" s="39"/>
    </row>
    <row r="607" spans="2:3" s="40" customFormat="1" ht="15.75" customHeight="1" x14ac:dyDescent="0.25">
      <c r="B607" s="38"/>
      <c r="C607" s="39"/>
    </row>
    <row r="608" spans="2:3" s="40" customFormat="1" ht="15.75" customHeight="1" x14ac:dyDescent="0.25">
      <c r="B608" s="38"/>
      <c r="C608" s="39"/>
    </row>
    <row r="609" spans="2:3" s="40" customFormat="1" ht="15.75" customHeight="1" x14ac:dyDescent="0.25">
      <c r="B609" s="38"/>
      <c r="C609" s="39"/>
    </row>
    <row r="610" spans="2:3" s="40" customFormat="1" ht="15.75" customHeight="1" x14ac:dyDescent="0.25">
      <c r="B610" s="38"/>
      <c r="C610" s="39"/>
    </row>
    <row r="611" spans="2:3" s="40" customFormat="1" ht="15.75" customHeight="1" x14ac:dyDescent="0.25">
      <c r="B611" s="38"/>
      <c r="C611" s="39"/>
    </row>
    <row r="612" spans="2:3" s="40" customFormat="1" ht="15.75" customHeight="1" x14ac:dyDescent="0.25">
      <c r="B612" s="38"/>
      <c r="C612" s="39"/>
    </row>
    <row r="613" spans="2:3" s="40" customFormat="1" ht="15.75" customHeight="1" x14ac:dyDescent="0.25">
      <c r="B613" s="38"/>
      <c r="C613" s="39"/>
    </row>
    <row r="614" spans="2:3" s="40" customFormat="1" ht="15.75" customHeight="1" x14ac:dyDescent="0.25">
      <c r="B614" s="38"/>
      <c r="C614" s="39"/>
    </row>
    <row r="615" spans="2:3" s="40" customFormat="1" ht="15.75" customHeight="1" x14ac:dyDescent="0.25">
      <c r="B615" s="38"/>
      <c r="C615" s="39"/>
    </row>
    <row r="616" spans="2:3" s="40" customFormat="1" ht="15.75" customHeight="1" x14ac:dyDescent="0.25">
      <c r="B616" s="38"/>
      <c r="C616" s="39"/>
    </row>
    <row r="617" spans="2:3" s="40" customFormat="1" ht="15.75" customHeight="1" x14ac:dyDescent="0.25">
      <c r="B617" s="38"/>
      <c r="C617" s="39"/>
    </row>
    <row r="618" spans="2:3" s="40" customFormat="1" ht="15.75" customHeight="1" x14ac:dyDescent="0.25">
      <c r="B618" s="38"/>
      <c r="C618" s="39"/>
    </row>
    <row r="619" spans="2:3" s="40" customFormat="1" ht="15.75" customHeight="1" x14ac:dyDescent="0.25">
      <c r="B619" s="38"/>
      <c r="C619" s="39"/>
    </row>
    <row r="620" spans="2:3" s="40" customFormat="1" ht="15.75" customHeight="1" x14ac:dyDescent="0.25">
      <c r="B620" s="38"/>
      <c r="C620" s="39"/>
    </row>
    <row r="621" spans="2:3" s="40" customFormat="1" ht="15.75" customHeight="1" x14ac:dyDescent="0.25">
      <c r="B621" s="38"/>
      <c r="C621" s="39"/>
    </row>
    <row r="622" spans="2:3" s="40" customFormat="1" ht="15.75" customHeight="1" x14ac:dyDescent="0.25">
      <c r="B622" s="38"/>
      <c r="C622" s="39"/>
    </row>
    <row r="623" spans="2:3" s="40" customFormat="1" ht="15.75" customHeight="1" x14ac:dyDescent="0.25">
      <c r="B623" s="38"/>
      <c r="C623" s="39"/>
    </row>
    <row r="624" spans="2:3" s="40" customFormat="1" ht="15.75" customHeight="1" x14ac:dyDescent="0.25">
      <c r="B624" s="38"/>
      <c r="C624" s="39"/>
    </row>
    <row r="625" spans="2:3" s="40" customFormat="1" ht="15.75" customHeight="1" x14ac:dyDescent="0.25">
      <c r="B625" s="38"/>
      <c r="C625" s="39"/>
    </row>
    <row r="626" spans="2:3" s="40" customFormat="1" ht="15.75" customHeight="1" x14ac:dyDescent="0.25">
      <c r="B626" s="38"/>
      <c r="C626" s="39"/>
    </row>
    <row r="627" spans="2:3" s="40" customFormat="1" ht="15.75" customHeight="1" x14ac:dyDescent="0.25">
      <c r="B627" s="38"/>
      <c r="C627" s="39"/>
    </row>
    <row r="628" spans="2:3" s="40" customFormat="1" ht="15.75" customHeight="1" x14ac:dyDescent="0.25">
      <c r="B628" s="38"/>
      <c r="C628" s="39"/>
    </row>
    <row r="629" spans="2:3" s="40" customFormat="1" ht="15.75" customHeight="1" x14ac:dyDescent="0.25">
      <c r="B629" s="38"/>
      <c r="C629" s="39"/>
    </row>
    <row r="630" spans="2:3" s="40" customFormat="1" ht="15.75" customHeight="1" x14ac:dyDescent="0.25">
      <c r="B630" s="38"/>
      <c r="C630" s="39"/>
    </row>
    <row r="631" spans="2:3" s="40" customFormat="1" ht="15.75" customHeight="1" x14ac:dyDescent="0.25">
      <c r="B631" s="38"/>
      <c r="C631" s="39"/>
    </row>
    <row r="632" spans="2:3" s="40" customFormat="1" ht="15.75" customHeight="1" x14ac:dyDescent="0.25">
      <c r="B632" s="38"/>
      <c r="C632" s="39"/>
    </row>
    <row r="633" spans="2:3" s="40" customFormat="1" ht="15.75" customHeight="1" x14ac:dyDescent="0.25">
      <c r="B633" s="38"/>
      <c r="C633" s="39"/>
    </row>
    <row r="634" spans="2:3" s="40" customFormat="1" ht="15.75" customHeight="1" x14ac:dyDescent="0.25">
      <c r="B634" s="38"/>
      <c r="C634" s="39"/>
    </row>
    <row r="635" spans="2:3" s="40" customFormat="1" ht="15.75" customHeight="1" x14ac:dyDescent="0.25">
      <c r="B635" s="38"/>
      <c r="C635" s="39"/>
    </row>
    <row r="636" spans="2:3" s="40" customFormat="1" ht="15.75" customHeight="1" x14ac:dyDescent="0.25">
      <c r="B636" s="38"/>
      <c r="C636" s="39"/>
    </row>
    <row r="637" spans="2:3" s="40" customFormat="1" ht="15.75" customHeight="1" x14ac:dyDescent="0.25">
      <c r="B637" s="38"/>
      <c r="C637" s="39"/>
    </row>
    <row r="638" spans="2:3" s="40" customFormat="1" ht="15.75" customHeight="1" x14ac:dyDescent="0.25">
      <c r="B638" s="38"/>
      <c r="C638" s="39"/>
    </row>
    <row r="639" spans="2:3" s="40" customFormat="1" ht="15.75" customHeight="1" x14ac:dyDescent="0.25">
      <c r="B639" s="38"/>
      <c r="C639" s="39"/>
    </row>
    <row r="640" spans="2:3" s="40" customFormat="1" ht="15.75" customHeight="1" x14ac:dyDescent="0.25">
      <c r="B640" s="38"/>
      <c r="C640" s="39"/>
    </row>
    <row r="641" spans="2:3" s="40" customFormat="1" ht="15.75" customHeight="1" x14ac:dyDescent="0.25">
      <c r="B641" s="38"/>
      <c r="C641" s="39"/>
    </row>
    <row r="642" spans="2:3" s="40" customFormat="1" ht="15.75" customHeight="1" x14ac:dyDescent="0.25">
      <c r="B642" s="38"/>
      <c r="C642" s="39"/>
    </row>
    <row r="643" spans="2:3" s="40" customFormat="1" ht="15.75" customHeight="1" x14ac:dyDescent="0.25">
      <c r="B643" s="38"/>
      <c r="C643" s="39"/>
    </row>
    <row r="644" spans="2:3" s="40" customFormat="1" ht="15.75" customHeight="1" x14ac:dyDescent="0.25">
      <c r="B644" s="38"/>
      <c r="C644" s="39"/>
    </row>
    <row r="645" spans="2:3" s="40" customFormat="1" ht="15.75" customHeight="1" x14ac:dyDescent="0.25">
      <c r="B645" s="38"/>
      <c r="C645" s="39"/>
    </row>
    <row r="646" spans="2:3" s="40" customFormat="1" ht="15.75" customHeight="1" x14ac:dyDescent="0.25">
      <c r="B646" s="38"/>
      <c r="C646" s="39"/>
    </row>
    <row r="647" spans="2:3" s="40" customFormat="1" ht="15.75" customHeight="1" x14ac:dyDescent="0.25">
      <c r="B647" s="38"/>
      <c r="C647" s="39"/>
    </row>
    <row r="648" spans="2:3" s="40" customFormat="1" ht="15.75" customHeight="1" x14ac:dyDescent="0.25">
      <c r="B648" s="38"/>
      <c r="C648" s="39"/>
    </row>
    <row r="649" spans="2:3" s="40" customFormat="1" ht="15.75" customHeight="1" x14ac:dyDescent="0.25">
      <c r="B649" s="38"/>
      <c r="C649" s="39"/>
    </row>
    <row r="650" spans="2:3" s="40" customFormat="1" ht="15.75" customHeight="1" x14ac:dyDescent="0.25">
      <c r="B650" s="38"/>
      <c r="C650" s="39"/>
    </row>
    <row r="651" spans="2:3" s="40" customFormat="1" ht="15.75" customHeight="1" x14ac:dyDescent="0.25">
      <c r="B651" s="38"/>
      <c r="C651" s="39"/>
    </row>
    <row r="652" spans="2:3" s="40" customFormat="1" ht="15.75" customHeight="1" x14ac:dyDescent="0.25">
      <c r="B652" s="38"/>
      <c r="C652" s="39"/>
    </row>
    <row r="653" spans="2:3" s="40" customFormat="1" ht="15.75" customHeight="1" x14ac:dyDescent="0.25">
      <c r="B653" s="38"/>
      <c r="C653" s="39"/>
    </row>
    <row r="654" spans="2:3" s="40" customFormat="1" ht="15.75" customHeight="1" x14ac:dyDescent="0.25">
      <c r="B654" s="38"/>
      <c r="C654" s="39"/>
    </row>
    <row r="655" spans="2:3" s="40" customFormat="1" ht="15.75" customHeight="1" x14ac:dyDescent="0.25">
      <c r="B655" s="38"/>
      <c r="C655" s="39"/>
    </row>
    <row r="656" spans="2:3" s="40" customFormat="1" ht="15.75" customHeight="1" x14ac:dyDescent="0.25">
      <c r="B656" s="38"/>
      <c r="C656" s="39"/>
    </row>
    <row r="657" spans="2:3" s="40" customFormat="1" ht="15.75" customHeight="1" x14ac:dyDescent="0.25">
      <c r="B657" s="38"/>
      <c r="C657" s="39"/>
    </row>
    <row r="658" spans="2:3" s="40" customFormat="1" ht="15.75" customHeight="1" x14ac:dyDescent="0.25">
      <c r="B658" s="38"/>
      <c r="C658" s="39"/>
    </row>
    <row r="659" spans="2:3" s="40" customFormat="1" ht="15.75" customHeight="1" x14ac:dyDescent="0.25">
      <c r="B659" s="38"/>
      <c r="C659" s="39"/>
    </row>
    <row r="660" spans="2:3" s="40" customFormat="1" ht="15.75" customHeight="1" x14ac:dyDescent="0.25">
      <c r="B660" s="38"/>
      <c r="C660" s="39"/>
    </row>
    <row r="661" spans="2:3" s="40" customFormat="1" ht="15.75" customHeight="1" x14ac:dyDescent="0.25">
      <c r="B661" s="38"/>
      <c r="C661" s="39"/>
    </row>
    <row r="662" spans="2:3" s="40" customFormat="1" ht="15.75" customHeight="1" x14ac:dyDescent="0.25">
      <c r="B662" s="38"/>
      <c r="C662" s="39"/>
    </row>
    <row r="663" spans="2:3" s="40" customFormat="1" ht="15.75" customHeight="1" x14ac:dyDescent="0.25">
      <c r="B663" s="38"/>
      <c r="C663" s="39"/>
    </row>
    <row r="664" spans="2:3" s="40" customFormat="1" ht="15.75" customHeight="1" x14ac:dyDescent="0.25">
      <c r="B664" s="38"/>
      <c r="C664" s="39"/>
    </row>
    <row r="665" spans="2:3" s="40" customFormat="1" ht="15.75" customHeight="1" x14ac:dyDescent="0.25">
      <c r="B665" s="38"/>
      <c r="C665" s="39"/>
    </row>
    <row r="666" spans="2:3" s="40" customFormat="1" ht="15.75" customHeight="1" x14ac:dyDescent="0.25">
      <c r="B666" s="38"/>
      <c r="C666" s="39"/>
    </row>
    <row r="667" spans="2:3" s="40" customFormat="1" ht="15.75" customHeight="1" x14ac:dyDescent="0.25">
      <c r="B667" s="38"/>
      <c r="C667" s="39"/>
    </row>
    <row r="668" spans="2:3" s="40" customFormat="1" ht="15.75" customHeight="1" x14ac:dyDescent="0.25">
      <c r="B668" s="38"/>
      <c r="C668" s="39"/>
    </row>
    <row r="669" spans="2:3" s="40" customFormat="1" ht="15.75" customHeight="1" x14ac:dyDescent="0.25">
      <c r="B669" s="38"/>
      <c r="C669" s="39"/>
    </row>
    <row r="670" spans="2:3" s="40" customFormat="1" ht="15.75" customHeight="1" x14ac:dyDescent="0.25">
      <c r="B670" s="38"/>
      <c r="C670" s="39"/>
    </row>
    <row r="671" spans="2:3" s="40" customFormat="1" ht="15.75" customHeight="1" x14ac:dyDescent="0.25">
      <c r="B671" s="38"/>
      <c r="C671" s="39"/>
    </row>
    <row r="672" spans="2:3" s="40" customFormat="1" ht="15.75" customHeight="1" x14ac:dyDescent="0.25">
      <c r="B672" s="38"/>
      <c r="C672" s="39"/>
    </row>
    <row r="673" spans="2:3" s="40" customFormat="1" ht="15.75" customHeight="1" x14ac:dyDescent="0.25">
      <c r="B673" s="38"/>
      <c r="C673" s="39"/>
    </row>
    <row r="674" spans="2:3" s="40" customFormat="1" ht="15.75" customHeight="1" x14ac:dyDescent="0.25">
      <c r="B674" s="38"/>
      <c r="C674" s="39"/>
    </row>
    <row r="675" spans="2:3" s="40" customFormat="1" ht="15.75" customHeight="1" x14ac:dyDescent="0.25">
      <c r="B675" s="38"/>
      <c r="C675" s="39"/>
    </row>
    <row r="676" spans="2:3" s="40" customFormat="1" ht="15.75" customHeight="1" x14ac:dyDescent="0.25">
      <c r="B676" s="38"/>
      <c r="C676" s="39"/>
    </row>
    <row r="677" spans="2:3" s="40" customFormat="1" ht="15.75" customHeight="1" x14ac:dyDescent="0.25">
      <c r="B677" s="38"/>
      <c r="C677" s="39"/>
    </row>
    <row r="678" spans="2:3" s="40" customFormat="1" ht="15.75" customHeight="1" x14ac:dyDescent="0.25">
      <c r="B678" s="38"/>
      <c r="C678" s="39"/>
    </row>
    <row r="679" spans="2:3" s="40" customFormat="1" ht="15.75" customHeight="1" x14ac:dyDescent="0.25">
      <c r="B679" s="38"/>
      <c r="C679" s="39"/>
    </row>
    <row r="680" spans="2:3" s="40" customFormat="1" ht="15.75" customHeight="1" x14ac:dyDescent="0.25">
      <c r="B680" s="38"/>
      <c r="C680" s="39"/>
    </row>
    <row r="681" spans="2:3" s="40" customFormat="1" ht="15.75" customHeight="1" x14ac:dyDescent="0.25">
      <c r="B681" s="38"/>
      <c r="C681" s="39"/>
    </row>
    <row r="682" spans="2:3" s="40" customFormat="1" ht="15.75" customHeight="1" x14ac:dyDescent="0.25">
      <c r="B682" s="38"/>
      <c r="C682" s="39"/>
    </row>
    <row r="683" spans="2:3" s="40" customFormat="1" ht="15.75" customHeight="1" x14ac:dyDescent="0.25">
      <c r="B683" s="38"/>
      <c r="C683" s="39"/>
    </row>
    <row r="684" spans="2:3" s="40" customFormat="1" ht="15.75" customHeight="1" x14ac:dyDescent="0.25">
      <c r="B684" s="38"/>
      <c r="C684" s="39"/>
    </row>
    <row r="685" spans="2:3" s="40" customFormat="1" ht="15.75" customHeight="1" x14ac:dyDescent="0.25">
      <c r="B685" s="38"/>
      <c r="C685" s="39"/>
    </row>
    <row r="686" spans="2:3" s="40" customFormat="1" ht="15.75" customHeight="1" x14ac:dyDescent="0.25">
      <c r="B686" s="38"/>
      <c r="C686" s="39"/>
    </row>
    <row r="687" spans="2:3" s="40" customFormat="1" ht="15.75" customHeight="1" x14ac:dyDescent="0.25">
      <c r="B687" s="38"/>
      <c r="C687" s="39"/>
    </row>
    <row r="688" spans="2:3" s="40" customFormat="1" ht="15.75" customHeight="1" x14ac:dyDescent="0.25">
      <c r="B688" s="38"/>
      <c r="C688" s="39"/>
    </row>
    <row r="689" spans="2:3" s="40" customFormat="1" ht="15.75" customHeight="1" x14ac:dyDescent="0.25">
      <c r="B689" s="38"/>
      <c r="C689" s="39"/>
    </row>
    <row r="690" spans="2:3" s="40" customFormat="1" ht="15.75" customHeight="1" x14ac:dyDescent="0.25">
      <c r="B690" s="38"/>
      <c r="C690" s="39"/>
    </row>
    <row r="691" spans="2:3" s="40" customFormat="1" ht="15.75" customHeight="1" x14ac:dyDescent="0.25">
      <c r="B691" s="38"/>
      <c r="C691" s="39"/>
    </row>
    <row r="692" spans="2:3" s="40" customFormat="1" ht="15.75" customHeight="1" x14ac:dyDescent="0.25">
      <c r="B692" s="38"/>
      <c r="C692" s="39"/>
    </row>
    <row r="693" spans="2:3" s="40" customFormat="1" ht="15.75" customHeight="1" x14ac:dyDescent="0.25">
      <c r="B693" s="38"/>
      <c r="C693" s="39"/>
    </row>
    <row r="694" spans="2:3" s="40" customFormat="1" ht="15.75" customHeight="1" x14ac:dyDescent="0.25">
      <c r="B694" s="38"/>
      <c r="C694" s="39"/>
    </row>
    <row r="695" spans="2:3" s="40" customFormat="1" ht="15.75" customHeight="1" x14ac:dyDescent="0.25">
      <c r="B695" s="38"/>
      <c r="C695" s="39"/>
    </row>
    <row r="696" spans="2:3" s="40" customFormat="1" ht="15.75" customHeight="1" x14ac:dyDescent="0.25">
      <c r="B696" s="38"/>
      <c r="C696" s="39"/>
    </row>
    <row r="697" spans="2:3" s="40" customFormat="1" ht="15.75" customHeight="1" x14ac:dyDescent="0.25">
      <c r="B697" s="38"/>
      <c r="C697" s="39"/>
    </row>
    <row r="698" spans="2:3" s="40" customFormat="1" ht="15.75" customHeight="1" x14ac:dyDescent="0.25">
      <c r="B698" s="38"/>
      <c r="C698" s="39"/>
    </row>
    <row r="699" spans="2:3" s="40" customFormat="1" ht="15.75" customHeight="1" x14ac:dyDescent="0.25">
      <c r="B699" s="38"/>
      <c r="C699" s="39"/>
    </row>
    <row r="700" spans="2:3" s="40" customFormat="1" ht="15.75" customHeight="1" x14ac:dyDescent="0.25">
      <c r="B700" s="38"/>
      <c r="C700" s="39"/>
    </row>
    <row r="701" spans="2:3" s="40" customFormat="1" ht="15.75" customHeight="1" x14ac:dyDescent="0.25">
      <c r="B701" s="38"/>
      <c r="C701" s="39"/>
    </row>
    <row r="702" spans="2:3" s="40" customFormat="1" ht="15.75" customHeight="1" x14ac:dyDescent="0.25">
      <c r="B702" s="38"/>
      <c r="C702" s="39"/>
    </row>
    <row r="703" spans="2:3" s="40" customFormat="1" ht="15.75" customHeight="1" x14ac:dyDescent="0.25">
      <c r="B703" s="38"/>
      <c r="C703" s="39"/>
    </row>
    <row r="704" spans="2:3" s="40" customFormat="1" ht="15.75" customHeight="1" x14ac:dyDescent="0.25">
      <c r="B704" s="38"/>
      <c r="C704" s="39"/>
    </row>
    <row r="705" spans="2:3" s="40" customFormat="1" ht="15.75" customHeight="1" x14ac:dyDescent="0.25">
      <c r="B705" s="38"/>
      <c r="C705" s="39"/>
    </row>
    <row r="706" spans="2:3" s="40" customFormat="1" ht="15.75" customHeight="1" x14ac:dyDescent="0.25">
      <c r="B706" s="38"/>
      <c r="C706" s="39"/>
    </row>
    <row r="707" spans="2:3" s="40" customFormat="1" ht="15.75" customHeight="1" x14ac:dyDescent="0.25">
      <c r="B707" s="38"/>
      <c r="C707" s="39"/>
    </row>
    <row r="708" spans="2:3" s="40" customFormat="1" ht="15.75" customHeight="1" x14ac:dyDescent="0.25">
      <c r="B708" s="38"/>
      <c r="C708" s="39"/>
    </row>
    <row r="709" spans="2:3" s="40" customFormat="1" ht="15.75" customHeight="1" x14ac:dyDescent="0.25">
      <c r="B709" s="38"/>
      <c r="C709" s="39"/>
    </row>
    <row r="710" spans="2:3" s="40" customFormat="1" ht="15.75" customHeight="1" x14ac:dyDescent="0.25">
      <c r="B710" s="38"/>
      <c r="C710" s="39"/>
    </row>
    <row r="711" spans="2:3" s="40" customFormat="1" ht="15.75" customHeight="1" x14ac:dyDescent="0.25">
      <c r="B711" s="38"/>
      <c r="C711" s="39"/>
    </row>
    <row r="712" spans="2:3" s="40" customFormat="1" ht="15.75" customHeight="1" x14ac:dyDescent="0.25">
      <c r="B712" s="38"/>
      <c r="C712" s="39"/>
    </row>
    <row r="713" spans="2:3" s="40" customFormat="1" ht="15.75" customHeight="1" x14ac:dyDescent="0.25">
      <c r="B713" s="38"/>
      <c r="C713" s="39"/>
    </row>
    <row r="714" spans="2:3" s="40" customFormat="1" ht="15.75" customHeight="1" x14ac:dyDescent="0.25">
      <c r="B714" s="38"/>
      <c r="C714" s="39"/>
    </row>
    <row r="715" spans="2:3" s="40" customFormat="1" ht="15.75" customHeight="1" x14ac:dyDescent="0.25">
      <c r="B715" s="38"/>
      <c r="C715" s="39"/>
    </row>
    <row r="716" spans="2:3" s="40" customFormat="1" ht="15.75" customHeight="1" x14ac:dyDescent="0.25">
      <c r="B716" s="38"/>
      <c r="C716" s="39"/>
    </row>
    <row r="717" spans="2:3" s="40" customFormat="1" ht="15.75" customHeight="1" x14ac:dyDescent="0.25">
      <c r="B717" s="38"/>
      <c r="C717" s="39"/>
    </row>
    <row r="718" spans="2:3" s="40" customFormat="1" ht="15.75" customHeight="1" x14ac:dyDescent="0.25">
      <c r="B718" s="38"/>
      <c r="C718" s="39"/>
    </row>
    <row r="719" spans="2:3" s="40" customFormat="1" ht="15.75" customHeight="1" x14ac:dyDescent="0.25">
      <c r="B719" s="38"/>
      <c r="C719" s="39"/>
    </row>
    <row r="720" spans="2:3" s="40" customFormat="1" ht="15.75" customHeight="1" x14ac:dyDescent="0.25">
      <c r="B720" s="38"/>
      <c r="C720" s="39"/>
    </row>
    <row r="721" spans="2:3" s="40" customFormat="1" ht="15.75" customHeight="1" x14ac:dyDescent="0.25">
      <c r="B721" s="38"/>
      <c r="C721" s="39"/>
    </row>
    <row r="722" spans="2:3" s="40" customFormat="1" ht="15.75" customHeight="1" x14ac:dyDescent="0.25">
      <c r="B722" s="38"/>
      <c r="C722" s="39"/>
    </row>
    <row r="723" spans="2:3" s="40" customFormat="1" ht="15.75" customHeight="1" x14ac:dyDescent="0.25">
      <c r="B723" s="38"/>
      <c r="C723" s="39"/>
    </row>
    <row r="724" spans="2:3" s="40" customFormat="1" ht="15.75" customHeight="1" x14ac:dyDescent="0.25">
      <c r="B724" s="38"/>
      <c r="C724" s="39"/>
    </row>
    <row r="725" spans="2:3" s="40" customFormat="1" ht="15.75" customHeight="1" x14ac:dyDescent="0.25">
      <c r="B725" s="38"/>
      <c r="C725" s="39"/>
    </row>
    <row r="726" spans="2:3" s="40" customFormat="1" ht="15.75" customHeight="1" x14ac:dyDescent="0.25">
      <c r="B726" s="38"/>
      <c r="C726" s="39"/>
    </row>
    <row r="727" spans="2:3" s="40" customFormat="1" ht="15.75" customHeight="1" x14ac:dyDescent="0.25">
      <c r="B727" s="38"/>
      <c r="C727" s="39"/>
    </row>
    <row r="728" spans="2:3" s="40" customFormat="1" ht="15.75" customHeight="1" x14ac:dyDescent="0.25">
      <c r="B728" s="38"/>
      <c r="C728" s="39"/>
    </row>
    <row r="729" spans="2:3" s="40" customFormat="1" ht="15.75" customHeight="1" x14ac:dyDescent="0.25">
      <c r="B729" s="38"/>
      <c r="C729" s="39"/>
    </row>
    <row r="730" spans="2:3" s="40" customFormat="1" ht="15.75" customHeight="1" x14ac:dyDescent="0.25">
      <c r="B730" s="38"/>
      <c r="C730" s="39"/>
    </row>
    <row r="731" spans="2:3" s="40" customFormat="1" ht="15.75" customHeight="1" x14ac:dyDescent="0.25">
      <c r="B731" s="38"/>
      <c r="C731" s="39"/>
    </row>
    <row r="732" spans="2:3" s="40" customFormat="1" ht="15.75" customHeight="1" x14ac:dyDescent="0.25">
      <c r="B732" s="38"/>
      <c r="C732" s="39"/>
    </row>
    <row r="733" spans="2:3" s="40" customFormat="1" ht="15.75" customHeight="1" x14ac:dyDescent="0.25">
      <c r="B733" s="38"/>
      <c r="C733" s="39"/>
    </row>
    <row r="734" spans="2:3" s="40" customFormat="1" ht="15.75" customHeight="1" x14ac:dyDescent="0.25">
      <c r="B734" s="38"/>
      <c r="C734" s="39"/>
    </row>
    <row r="735" spans="2:3" s="40" customFormat="1" ht="15.75" customHeight="1" x14ac:dyDescent="0.25">
      <c r="B735" s="38"/>
      <c r="C735" s="39"/>
    </row>
    <row r="736" spans="2:3" s="40" customFormat="1" ht="15.75" customHeight="1" x14ac:dyDescent="0.25">
      <c r="B736" s="38"/>
      <c r="C736" s="39"/>
    </row>
    <row r="737" spans="2:3" s="40" customFormat="1" ht="15.75" customHeight="1" x14ac:dyDescent="0.25">
      <c r="B737" s="38"/>
      <c r="C737" s="39"/>
    </row>
    <row r="738" spans="2:3" s="40" customFormat="1" ht="15.75" customHeight="1" x14ac:dyDescent="0.25">
      <c r="B738" s="38"/>
      <c r="C738" s="39"/>
    </row>
    <row r="739" spans="2:3" s="40" customFormat="1" ht="15.75" customHeight="1" x14ac:dyDescent="0.25">
      <c r="B739" s="38"/>
      <c r="C739" s="39"/>
    </row>
    <row r="740" spans="2:3" s="40" customFormat="1" ht="15.75" customHeight="1" x14ac:dyDescent="0.25">
      <c r="B740" s="38"/>
      <c r="C740" s="39"/>
    </row>
    <row r="741" spans="2:3" s="40" customFormat="1" ht="15.75" customHeight="1" x14ac:dyDescent="0.25">
      <c r="B741" s="38"/>
      <c r="C741" s="39"/>
    </row>
    <row r="742" spans="2:3" s="40" customFormat="1" ht="15.75" customHeight="1" x14ac:dyDescent="0.25">
      <c r="B742" s="38"/>
      <c r="C742" s="39"/>
    </row>
    <row r="743" spans="2:3" s="40" customFormat="1" ht="15.75" customHeight="1" x14ac:dyDescent="0.25">
      <c r="B743" s="38"/>
      <c r="C743" s="39"/>
    </row>
    <row r="744" spans="2:3" s="40" customFormat="1" ht="15.75" customHeight="1" x14ac:dyDescent="0.25">
      <c r="B744" s="38"/>
      <c r="C744" s="39"/>
    </row>
    <row r="745" spans="2:3" s="40" customFormat="1" ht="15.75" customHeight="1" x14ac:dyDescent="0.25">
      <c r="B745" s="38"/>
      <c r="C745" s="39"/>
    </row>
    <row r="746" spans="2:3" s="40" customFormat="1" ht="15.75" customHeight="1" x14ac:dyDescent="0.25">
      <c r="B746" s="38"/>
      <c r="C746" s="39"/>
    </row>
    <row r="747" spans="2:3" s="40" customFormat="1" ht="15.75" customHeight="1" x14ac:dyDescent="0.25">
      <c r="B747" s="38"/>
      <c r="C747" s="39"/>
    </row>
    <row r="748" spans="2:3" s="40" customFormat="1" ht="15.75" customHeight="1" x14ac:dyDescent="0.25">
      <c r="B748" s="38"/>
      <c r="C748" s="39"/>
    </row>
    <row r="749" spans="2:3" s="40" customFormat="1" ht="15.75" customHeight="1" x14ac:dyDescent="0.25">
      <c r="B749" s="38"/>
      <c r="C749" s="39"/>
    </row>
    <row r="750" spans="2:3" s="40" customFormat="1" ht="15.75" customHeight="1" x14ac:dyDescent="0.25">
      <c r="B750" s="38"/>
      <c r="C750" s="39"/>
    </row>
    <row r="751" spans="2:3" s="40" customFormat="1" ht="15.75" customHeight="1" x14ac:dyDescent="0.25">
      <c r="B751" s="38"/>
      <c r="C751" s="39"/>
    </row>
    <row r="752" spans="2:3" s="40" customFormat="1" ht="15.75" customHeight="1" x14ac:dyDescent="0.25">
      <c r="B752" s="38"/>
      <c r="C752" s="39"/>
    </row>
    <row r="753" spans="2:3" s="40" customFormat="1" ht="15.75" customHeight="1" x14ac:dyDescent="0.25">
      <c r="B753" s="38"/>
      <c r="C753" s="39"/>
    </row>
    <row r="754" spans="2:3" s="40" customFormat="1" ht="15.75" customHeight="1" x14ac:dyDescent="0.25">
      <c r="B754" s="38"/>
      <c r="C754" s="39"/>
    </row>
    <row r="755" spans="2:3" s="40" customFormat="1" ht="15.75" customHeight="1" x14ac:dyDescent="0.25">
      <c r="B755" s="38"/>
      <c r="C755" s="39"/>
    </row>
    <row r="756" spans="2:3" s="40" customFormat="1" ht="15.75" customHeight="1" x14ac:dyDescent="0.25">
      <c r="B756" s="38"/>
      <c r="C756" s="39"/>
    </row>
    <row r="757" spans="2:3" s="40" customFormat="1" ht="15.75" customHeight="1" x14ac:dyDescent="0.25">
      <c r="B757" s="38"/>
      <c r="C757" s="39"/>
    </row>
    <row r="758" spans="2:3" s="40" customFormat="1" ht="15.75" customHeight="1" x14ac:dyDescent="0.25">
      <c r="B758" s="38"/>
      <c r="C758" s="39"/>
    </row>
    <row r="759" spans="2:3" s="40" customFormat="1" ht="15.75" customHeight="1" x14ac:dyDescent="0.25">
      <c r="B759" s="38"/>
      <c r="C759" s="39"/>
    </row>
    <row r="760" spans="2:3" s="40" customFormat="1" ht="15.75" customHeight="1" x14ac:dyDescent="0.25">
      <c r="B760" s="38"/>
      <c r="C760" s="39"/>
    </row>
    <row r="761" spans="2:3" s="40" customFormat="1" ht="15.75" customHeight="1" x14ac:dyDescent="0.25">
      <c r="B761" s="38"/>
      <c r="C761" s="39"/>
    </row>
    <row r="762" spans="2:3" s="40" customFormat="1" ht="15.75" customHeight="1" x14ac:dyDescent="0.25">
      <c r="B762" s="38"/>
      <c r="C762" s="39"/>
    </row>
    <row r="763" spans="2:3" s="40" customFormat="1" ht="15.75" customHeight="1" x14ac:dyDescent="0.25">
      <c r="B763" s="38"/>
      <c r="C763" s="39"/>
    </row>
    <row r="764" spans="2:3" s="40" customFormat="1" ht="15.75" customHeight="1" x14ac:dyDescent="0.25">
      <c r="B764" s="38"/>
      <c r="C764" s="39"/>
    </row>
    <row r="765" spans="2:3" s="40" customFormat="1" ht="15.75" customHeight="1" x14ac:dyDescent="0.25">
      <c r="B765" s="38"/>
      <c r="C765" s="39"/>
    </row>
    <row r="766" spans="2:3" s="40" customFormat="1" ht="15.75" customHeight="1" x14ac:dyDescent="0.25">
      <c r="B766" s="38"/>
      <c r="C766" s="39"/>
    </row>
    <row r="767" spans="2:3" s="40" customFormat="1" ht="15.75" customHeight="1" x14ac:dyDescent="0.25">
      <c r="B767" s="38"/>
      <c r="C767" s="39"/>
    </row>
    <row r="768" spans="2:3" s="40" customFormat="1" ht="15.75" customHeight="1" x14ac:dyDescent="0.25">
      <c r="B768" s="38"/>
      <c r="C768" s="39"/>
    </row>
    <row r="769" spans="2:3" s="40" customFormat="1" ht="15.75" customHeight="1" x14ac:dyDescent="0.25">
      <c r="B769" s="38"/>
      <c r="C769" s="39"/>
    </row>
    <row r="770" spans="2:3" s="40" customFormat="1" ht="15.75" customHeight="1" x14ac:dyDescent="0.25">
      <c r="B770" s="38"/>
      <c r="C770" s="39"/>
    </row>
    <row r="771" spans="2:3" s="40" customFormat="1" ht="15.75" customHeight="1" x14ac:dyDescent="0.25">
      <c r="B771" s="38"/>
      <c r="C771" s="39"/>
    </row>
    <row r="772" spans="2:3" s="40" customFormat="1" ht="15.75" customHeight="1" x14ac:dyDescent="0.25">
      <c r="B772" s="38"/>
      <c r="C772" s="39"/>
    </row>
    <row r="773" spans="2:3" s="40" customFormat="1" ht="15.75" customHeight="1" x14ac:dyDescent="0.25">
      <c r="B773" s="38"/>
      <c r="C773" s="39"/>
    </row>
    <row r="774" spans="2:3" s="40" customFormat="1" ht="15.75" customHeight="1" x14ac:dyDescent="0.25">
      <c r="B774" s="38"/>
      <c r="C774" s="39"/>
    </row>
    <row r="775" spans="2:3" s="40" customFormat="1" ht="15.75" customHeight="1" x14ac:dyDescent="0.25">
      <c r="B775" s="38"/>
      <c r="C775" s="39"/>
    </row>
    <row r="776" spans="2:3" s="40" customFormat="1" ht="15.75" customHeight="1" x14ac:dyDescent="0.25">
      <c r="B776" s="38"/>
      <c r="C776" s="39"/>
    </row>
    <row r="777" spans="2:3" s="40" customFormat="1" ht="15.75" customHeight="1" x14ac:dyDescent="0.25">
      <c r="B777" s="38"/>
      <c r="C777" s="39"/>
    </row>
    <row r="778" spans="2:3" s="40" customFormat="1" ht="15.75" customHeight="1" x14ac:dyDescent="0.25">
      <c r="B778" s="38"/>
      <c r="C778" s="39"/>
    </row>
    <row r="779" spans="2:3" s="40" customFormat="1" ht="15.75" customHeight="1" x14ac:dyDescent="0.25">
      <c r="B779" s="38"/>
      <c r="C779" s="39"/>
    </row>
    <row r="780" spans="2:3" s="40" customFormat="1" ht="15.75" customHeight="1" x14ac:dyDescent="0.25">
      <c r="B780" s="38"/>
      <c r="C780" s="39"/>
    </row>
    <row r="781" spans="2:3" s="40" customFormat="1" ht="15.75" customHeight="1" x14ac:dyDescent="0.25">
      <c r="B781" s="38"/>
      <c r="C781" s="39"/>
    </row>
    <row r="782" spans="2:3" s="40" customFormat="1" ht="15.75" customHeight="1" x14ac:dyDescent="0.25">
      <c r="B782" s="38"/>
      <c r="C782" s="39"/>
    </row>
    <row r="783" spans="2:3" s="40" customFormat="1" ht="15.75" customHeight="1" x14ac:dyDescent="0.25">
      <c r="B783" s="38"/>
      <c r="C783" s="39"/>
    </row>
    <row r="784" spans="2:3" s="40" customFormat="1" ht="15.75" customHeight="1" x14ac:dyDescent="0.25">
      <c r="B784" s="38"/>
      <c r="C784" s="39"/>
    </row>
    <row r="785" spans="2:3" s="40" customFormat="1" ht="15.75" customHeight="1" x14ac:dyDescent="0.25">
      <c r="B785" s="38"/>
      <c r="C785" s="39"/>
    </row>
    <row r="786" spans="2:3" s="40" customFormat="1" ht="15.75" customHeight="1" x14ac:dyDescent="0.25">
      <c r="B786" s="38"/>
      <c r="C786" s="39"/>
    </row>
    <row r="787" spans="2:3" s="40" customFormat="1" ht="15.75" customHeight="1" x14ac:dyDescent="0.25">
      <c r="B787" s="38"/>
      <c r="C787" s="39"/>
    </row>
    <row r="788" spans="2:3" s="40" customFormat="1" ht="15.75" customHeight="1" x14ac:dyDescent="0.25">
      <c r="B788" s="38"/>
      <c r="C788" s="39"/>
    </row>
    <row r="789" spans="2:3" s="40" customFormat="1" ht="15.75" customHeight="1" x14ac:dyDescent="0.25">
      <c r="B789" s="38"/>
      <c r="C789" s="39"/>
    </row>
    <row r="790" spans="2:3" s="40" customFormat="1" ht="15.75" customHeight="1" x14ac:dyDescent="0.25">
      <c r="B790" s="38"/>
      <c r="C790" s="39"/>
    </row>
    <row r="791" spans="2:3" s="40" customFormat="1" ht="15.75" customHeight="1" x14ac:dyDescent="0.25">
      <c r="B791" s="38"/>
      <c r="C791" s="39"/>
    </row>
    <row r="792" spans="2:3" s="40" customFormat="1" ht="15.75" customHeight="1" x14ac:dyDescent="0.25">
      <c r="B792" s="38"/>
      <c r="C792" s="39"/>
    </row>
    <row r="793" spans="2:3" s="40" customFormat="1" ht="15.75" customHeight="1" x14ac:dyDescent="0.25">
      <c r="B793" s="38"/>
      <c r="C793" s="39"/>
    </row>
    <row r="794" spans="2:3" s="40" customFormat="1" ht="15.75" customHeight="1" x14ac:dyDescent="0.25">
      <c r="B794" s="38"/>
      <c r="C794" s="39"/>
    </row>
    <row r="795" spans="2:3" s="40" customFormat="1" ht="15.75" customHeight="1" x14ac:dyDescent="0.25">
      <c r="B795" s="38"/>
      <c r="C795" s="39"/>
    </row>
    <row r="796" spans="2:3" s="40" customFormat="1" ht="15.75" customHeight="1" x14ac:dyDescent="0.25">
      <c r="B796" s="38"/>
      <c r="C796" s="39"/>
    </row>
    <row r="797" spans="2:3" s="40" customFormat="1" ht="15.75" customHeight="1" x14ac:dyDescent="0.25">
      <c r="B797" s="38"/>
      <c r="C797" s="39"/>
    </row>
    <row r="798" spans="2:3" s="40" customFormat="1" ht="15.75" customHeight="1" x14ac:dyDescent="0.25">
      <c r="B798" s="38"/>
      <c r="C798" s="39"/>
    </row>
    <row r="799" spans="2:3" s="40" customFormat="1" ht="15.75" customHeight="1" x14ac:dyDescent="0.25">
      <c r="B799" s="38"/>
      <c r="C799" s="39"/>
    </row>
    <row r="800" spans="2:3" s="40" customFormat="1" ht="15.75" customHeight="1" x14ac:dyDescent="0.25">
      <c r="B800" s="38"/>
      <c r="C800" s="39"/>
    </row>
    <row r="801" spans="2:3" s="40" customFormat="1" ht="15.75" customHeight="1" x14ac:dyDescent="0.25">
      <c r="B801" s="38"/>
      <c r="C801" s="39"/>
    </row>
    <row r="802" spans="2:3" s="40" customFormat="1" ht="15.75" customHeight="1" x14ac:dyDescent="0.25">
      <c r="B802" s="38"/>
      <c r="C802" s="39"/>
    </row>
    <row r="803" spans="2:3" s="40" customFormat="1" ht="15.75" customHeight="1" x14ac:dyDescent="0.25">
      <c r="B803" s="38"/>
      <c r="C803" s="39"/>
    </row>
    <row r="804" spans="2:3" s="40" customFormat="1" ht="15.75" customHeight="1" x14ac:dyDescent="0.25">
      <c r="B804" s="38"/>
      <c r="C804" s="39"/>
    </row>
    <row r="805" spans="2:3" s="40" customFormat="1" ht="15.75" customHeight="1" x14ac:dyDescent="0.25">
      <c r="B805" s="38"/>
      <c r="C805" s="39"/>
    </row>
    <row r="806" spans="2:3" s="40" customFormat="1" ht="15.75" customHeight="1" x14ac:dyDescent="0.25">
      <c r="B806" s="38"/>
      <c r="C806" s="39"/>
    </row>
    <row r="807" spans="2:3" s="40" customFormat="1" ht="15.75" customHeight="1" x14ac:dyDescent="0.25">
      <c r="B807" s="38"/>
      <c r="C807" s="39"/>
    </row>
    <row r="808" spans="2:3" s="40" customFormat="1" ht="15.75" customHeight="1" x14ac:dyDescent="0.25">
      <c r="B808" s="38"/>
      <c r="C808" s="39"/>
    </row>
    <row r="809" spans="2:3" s="40" customFormat="1" ht="15.75" customHeight="1" x14ac:dyDescent="0.25">
      <c r="B809" s="38"/>
      <c r="C809" s="39"/>
    </row>
    <row r="810" spans="2:3" s="40" customFormat="1" ht="15.75" customHeight="1" x14ac:dyDescent="0.25">
      <c r="B810" s="38"/>
      <c r="C810" s="39"/>
    </row>
    <row r="811" spans="2:3" s="40" customFormat="1" ht="15.75" customHeight="1" x14ac:dyDescent="0.25">
      <c r="B811" s="38"/>
      <c r="C811" s="39"/>
    </row>
    <row r="812" spans="2:3" s="40" customFormat="1" ht="15.75" customHeight="1" x14ac:dyDescent="0.25">
      <c r="B812" s="38"/>
      <c r="C812" s="39"/>
    </row>
    <row r="813" spans="2:3" s="40" customFormat="1" ht="15.75" customHeight="1" x14ac:dyDescent="0.25">
      <c r="B813" s="38"/>
      <c r="C813" s="39"/>
    </row>
    <row r="814" spans="2:3" s="40" customFormat="1" ht="15.75" customHeight="1" x14ac:dyDescent="0.25">
      <c r="B814" s="38"/>
      <c r="C814" s="39"/>
    </row>
    <row r="815" spans="2:3" s="40" customFormat="1" ht="15.75" customHeight="1" x14ac:dyDescent="0.25">
      <c r="B815" s="38"/>
      <c r="C815" s="39"/>
    </row>
    <row r="816" spans="2:3" s="40" customFormat="1" ht="15.75" customHeight="1" x14ac:dyDescent="0.25">
      <c r="B816" s="38"/>
      <c r="C816" s="39"/>
    </row>
    <row r="817" spans="2:3" s="40" customFormat="1" ht="15.75" customHeight="1" x14ac:dyDescent="0.25">
      <c r="B817" s="38"/>
      <c r="C817" s="39"/>
    </row>
    <row r="818" spans="2:3" s="40" customFormat="1" ht="15.75" customHeight="1" x14ac:dyDescent="0.25">
      <c r="B818" s="38"/>
      <c r="C818" s="39"/>
    </row>
    <row r="819" spans="2:3" s="40" customFormat="1" ht="15.75" customHeight="1" x14ac:dyDescent="0.25">
      <c r="B819" s="38"/>
      <c r="C819" s="39"/>
    </row>
    <row r="820" spans="2:3" s="40" customFormat="1" ht="15.75" customHeight="1" x14ac:dyDescent="0.25">
      <c r="B820" s="38"/>
      <c r="C820" s="39"/>
    </row>
    <row r="821" spans="2:3" s="40" customFormat="1" ht="15.75" customHeight="1" x14ac:dyDescent="0.25">
      <c r="B821" s="38"/>
      <c r="C821" s="39"/>
    </row>
    <row r="822" spans="2:3" s="40" customFormat="1" ht="15.75" customHeight="1" x14ac:dyDescent="0.25">
      <c r="B822" s="38"/>
      <c r="C822" s="39"/>
    </row>
    <row r="823" spans="2:3" s="40" customFormat="1" ht="15.75" customHeight="1" x14ac:dyDescent="0.25">
      <c r="B823" s="38"/>
      <c r="C823" s="39"/>
    </row>
    <row r="824" spans="2:3" s="40" customFormat="1" ht="15.75" customHeight="1" x14ac:dyDescent="0.25">
      <c r="B824" s="38"/>
      <c r="C824" s="39"/>
    </row>
    <row r="825" spans="2:3" s="40" customFormat="1" ht="15.75" customHeight="1" x14ac:dyDescent="0.25">
      <c r="B825" s="38"/>
      <c r="C825" s="39"/>
    </row>
    <row r="826" spans="2:3" s="40" customFormat="1" ht="15.75" customHeight="1" x14ac:dyDescent="0.25">
      <c r="B826" s="38"/>
      <c r="C826" s="39"/>
    </row>
    <row r="827" spans="2:3" s="40" customFormat="1" ht="15.75" customHeight="1" x14ac:dyDescent="0.25">
      <c r="B827" s="38"/>
      <c r="C827" s="39"/>
    </row>
    <row r="828" spans="2:3" s="40" customFormat="1" ht="15.75" customHeight="1" x14ac:dyDescent="0.25">
      <c r="B828" s="38"/>
      <c r="C828" s="39"/>
    </row>
    <row r="829" spans="2:3" s="40" customFormat="1" ht="15.75" customHeight="1" x14ac:dyDescent="0.25">
      <c r="B829" s="38"/>
      <c r="C829" s="39"/>
    </row>
    <row r="830" spans="2:3" s="40" customFormat="1" ht="15.75" customHeight="1" x14ac:dyDescent="0.25">
      <c r="B830" s="38"/>
      <c r="C830" s="39"/>
    </row>
    <row r="831" spans="2:3" s="40" customFormat="1" ht="15.75" customHeight="1" x14ac:dyDescent="0.25">
      <c r="B831" s="38"/>
      <c r="C831" s="39"/>
    </row>
    <row r="832" spans="2:3" s="40" customFormat="1" ht="15.75" customHeight="1" x14ac:dyDescent="0.25">
      <c r="B832" s="38"/>
      <c r="C832" s="39"/>
    </row>
    <row r="833" spans="2:3" s="40" customFormat="1" ht="15.75" customHeight="1" x14ac:dyDescent="0.25">
      <c r="B833" s="38"/>
      <c r="C833" s="39"/>
    </row>
    <row r="834" spans="2:3" s="40" customFormat="1" ht="15.75" customHeight="1" x14ac:dyDescent="0.25">
      <c r="B834" s="38"/>
      <c r="C834" s="39"/>
    </row>
    <row r="835" spans="2:3" s="40" customFormat="1" ht="15.75" customHeight="1" x14ac:dyDescent="0.25">
      <c r="B835" s="38"/>
      <c r="C835" s="39"/>
    </row>
    <row r="836" spans="2:3" s="40" customFormat="1" ht="15.75" customHeight="1" x14ac:dyDescent="0.25">
      <c r="B836" s="38"/>
      <c r="C836" s="39"/>
    </row>
    <row r="837" spans="2:3" s="40" customFormat="1" ht="15.75" customHeight="1" x14ac:dyDescent="0.25">
      <c r="B837" s="38"/>
      <c r="C837" s="39"/>
    </row>
    <row r="838" spans="2:3" s="40" customFormat="1" ht="15.75" customHeight="1" x14ac:dyDescent="0.25">
      <c r="B838" s="38"/>
      <c r="C838" s="39"/>
    </row>
    <row r="839" spans="2:3" s="40" customFormat="1" ht="15.75" customHeight="1" x14ac:dyDescent="0.25">
      <c r="B839" s="38"/>
      <c r="C839" s="39"/>
    </row>
    <row r="840" spans="2:3" s="40" customFormat="1" ht="15.75" customHeight="1" x14ac:dyDescent="0.25">
      <c r="B840" s="38"/>
      <c r="C840" s="39"/>
    </row>
    <row r="841" spans="2:3" s="40" customFormat="1" ht="15.75" customHeight="1" x14ac:dyDescent="0.25">
      <c r="B841" s="38"/>
      <c r="C841" s="39"/>
    </row>
    <row r="842" spans="2:3" s="40" customFormat="1" ht="15.75" customHeight="1" x14ac:dyDescent="0.25">
      <c r="B842" s="38"/>
      <c r="C842" s="39"/>
    </row>
    <row r="843" spans="2:3" s="40" customFormat="1" ht="15.75" customHeight="1" x14ac:dyDescent="0.25">
      <c r="B843" s="38"/>
      <c r="C843" s="39"/>
    </row>
    <row r="844" spans="2:3" s="40" customFormat="1" ht="15.75" customHeight="1" x14ac:dyDescent="0.25">
      <c r="B844" s="38"/>
      <c r="C844" s="39"/>
    </row>
    <row r="845" spans="2:3" s="40" customFormat="1" ht="15.75" customHeight="1" x14ac:dyDescent="0.25">
      <c r="B845" s="38"/>
      <c r="C845" s="39"/>
    </row>
    <row r="846" spans="2:3" s="40" customFormat="1" ht="15.75" customHeight="1" x14ac:dyDescent="0.25">
      <c r="B846" s="38"/>
      <c r="C846" s="39"/>
    </row>
    <row r="847" spans="2:3" s="40" customFormat="1" ht="15.75" customHeight="1" x14ac:dyDescent="0.25">
      <c r="B847" s="38"/>
      <c r="C847" s="39"/>
    </row>
    <row r="848" spans="2:3" s="40" customFormat="1" ht="15.75" customHeight="1" x14ac:dyDescent="0.25">
      <c r="B848" s="38"/>
      <c r="C848" s="39"/>
    </row>
    <row r="849" spans="2:3" s="40" customFormat="1" ht="15.75" customHeight="1" x14ac:dyDescent="0.25">
      <c r="B849" s="38"/>
      <c r="C849" s="39"/>
    </row>
    <row r="850" spans="2:3" s="40" customFormat="1" ht="15.75" customHeight="1" x14ac:dyDescent="0.25">
      <c r="B850" s="38"/>
      <c r="C850" s="39"/>
    </row>
    <row r="851" spans="2:3" s="40" customFormat="1" ht="15.75" customHeight="1" x14ac:dyDescent="0.25">
      <c r="B851" s="38"/>
      <c r="C851" s="39"/>
    </row>
    <row r="852" spans="2:3" s="40" customFormat="1" ht="15.75" customHeight="1" x14ac:dyDescent="0.25">
      <c r="B852" s="38"/>
      <c r="C852" s="39"/>
    </row>
    <row r="853" spans="2:3" s="40" customFormat="1" ht="15.75" customHeight="1" x14ac:dyDescent="0.25">
      <c r="B853" s="38"/>
      <c r="C853" s="39"/>
    </row>
    <row r="854" spans="2:3" s="40" customFormat="1" ht="15.75" customHeight="1" x14ac:dyDescent="0.25">
      <c r="B854" s="38"/>
      <c r="C854" s="39"/>
    </row>
    <row r="855" spans="2:3" s="40" customFormat="1" ht="15.75" customHeight="1" x14ac:dyDescent="0.25">
      <c r="B855" s="38"/>
      <c r="C855" s="39"/>
    </row>
    <row r="856" spans="2:3" s="40" customFormat="1" ht="15.75" customHeight="1" x14ac:dyDescent="0.25">
      <c r="B856" s="38"/>
      <c r="C856" s="39"/>
    </row>
    <row r="857" spans="2:3" s="40" customFormat="1" ht="15.75" customHeight="1" x14ac:dyDescent="0.25">
      <c r="B857" s="38"/>
      <c r="C857" s="39"/>
    </row>
    <row r="858" spans="2:3" s="40" customFormat="1" ht="15.75" customHeight="1" x14ac:dyDescent="0.25">
      <c r="B858" s="38"/>
      <c r="C858" s="39"/>
    </row>
    <row r="859" spans="2:3" s="40" customFormat="1" ht="15.75" customHeight="1" x14ac:dyDescent="0.25">
      <c r="B859" s="38"/>
      <c r="C859" s="39"/>
    </row>
    <row r="860" spans="2:3" s="40" customFormat="1" ht="15.75" customHeight="1" x14ac:dyDescent="0.25">
      <c r="B860" s="38"/>
      <c r="C860" s="39"/>
    </row>
    <row r="861" spans="2:3" s="40" customFormat="1" ht="15.75" customHeight="1" x14ac:dyDescent="0.25">
      <c r="B861" s="38"/>
      <c r="C861" s="39"/>
    </row>
    <row r="862" spans="2:3" s="40" customFormat="1" ht="15.75" customHeight="1" x14ac:dyDescent="0.25">
      <c r="B862" s="38"/>
      <c r="C862" s="39"/>
    </row>
    <row r="863" spans="2:3" s="40" customFormat="1" ht="15.75" customHeight="1" x14ac:dyDescent="0.25">
      <c r="B863" s="38"/>
      <c r="C863" s="39"/>
    </row>
    <row r="864" spans="2:3" s="40" customFormat="1" ht="15.75" customHeight="1" x14ac:dyDescent="0.25">
      <c r="B864" s="38"/>
      <c r="C864" s="39"/>
    </row>
    <row r="865" spans="2:3" s="40" customFormat="1" ht="15.75" customHeight="1" x14ac:dyDescent="0.25">
      <c r="B865" s="38"/>
      <c r="C865" s="39"/>
    </row>
    <row r="866" spans="2:3" s="40" customFormat="1" ht="15.75" customHeight="1" x14ac:dyDescent="0.25">
      <c r="B866" s="38"/>
      <c r="C866" s="39"/>
    </row>
    <row r="867" spans="2:3" s="40" customFormat="1" ht="15.75" customHeight="1" x14ac:dyDescent="0.25">
      <c r="B867" s="38"/>
      <c r="C867" s="39"/>
    </row>
    <row r="868" spans="2:3" s="40" customFormat="1" ht="15.75" customHeight="1" x14ac:dyDescent="0.25">
      <c r="B868" s="38"/>
      <c r="C868" s="39"/>
    </row>
    <row r="869" spans="2:3" s="40" customFormat="1" ht="15.75" customHeight="1" x14ac:dyDescent="0.25">
      <c r="B869" s="38"/>
      <c r="C869" s="39"/>
    </row>
    <row r="870" spans="2:3" s="40" customFormat="1" ht="15.75" customHeight="1" x14ac:dyDescent="0.25">
      <c r="B870" s="38"/>
      <c r="C870" s="39"/>
    </row>
    <row r="871" spans="2:3" s="40" customFormat="1" ht="15.75" customHeight="1" x14ac:dyDescent="0.25">
      <c r="B871" s="38"/>
      <c r="C871" s="39"/>
    </row>
    <row r="872" spans="2:3" s="40" customFormat="1" ht="15.75" customHeight="1" x14ac:dyDescent="0.25">
      <c r="B872" s="38"/>
      <c r="C872" s="39"/>
    </row>
    <row r="873" spans="2:3" s="40" customFormat="1" ht="15.75" customHeight="1" x14ac:dyDescent="0.25">
      <c r="B873" s="38"/>
      <c r="C873" s="39"/>
    </row>
    <row r="874" spans="2:3" s="40" customFormat="1" ht="15.75" customHeight="1" x14ac:dyDescent="0.25">
      <c r="B874" s="38"/>
      <c r="C874" s="39"/>
    </row>
    <row r="875" spans="2:3" s="40" customFormat="1" ht="15.75" customHeight="1" x14ac:dyDescent="0.25">
      <c r="B875" s="38"/>
      <c r="C875" s="39"/>
    </row>
    <row r="876" spans="2:3" s="40" customFormat="1" ht="15.75" customHeight="1" x14ac:dyDescent="0.25">
      <c r="B876" s="38"/>
      <c r="C876" s="39"/>
    </row>
    <row r="877" spans="2:3" s="40" customFormat="1" ht="15.75" customHeight="1" x14ac:dyDescent="0.25">
      <c r="B877" s="38"/>
      <c r="C877" s="39"/>
    </row>
    <row r="878" spans="2:3" s="40" customFormat="1" ht="15.75" customHeight="1" x14ac:dyDescent="0.25">
      <c r="B878" s="38"/>
      <c r="C878" s="3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42"/>
  <sheetViews>
    <sheetView showGridLines="0" workbookViewId="0">
      <selection activeCell="A22" sqref="A1:XFD1048576"/>
    </sheetView>
  </sheetViews>
  <sheetFormatPr baseColWidth="10" defaultRowHeight="15" x14ac:dyDescent="0.25"/>
  <cols>
    <col min="1" max="3" width="11.42578125" style="216"/>
    <col min="4" max="4" width="27.5703125" style="216" bestFit="1" customWidth="1"/>
    <col min="5" max="16384" width="11.42578125" style="216"/>
  </cols>
  <sheetData>
    <row r="1" spans="1:5" x14ac:dyDescent="0.25">
      <c r="A1" s="282" t="s">
        <v>60</v>
      </c>
      <c r="B1" s="282" t="s">
        <v>61</v>
      </c>
      <c r="D1" s="282" t="s">
        <v>62</v>
      </c>
      <c r="E1" s="282" t="s">
        <v>63</v>
      </c>
    </row>
    <row r="2" spans="1:5" x14ac:dyDescent="0.25">
      <c r="A2" s="217">
        <v>0</v>
      </c>
      <c r="B2" s="218">
        <v>1</v>
      </c>
      <c r="D2" s="217">
        <v>0</v>
      </c>
      <c r="E2" s="218">
        <v>1</v>
      </c>
    </row>
    <row r="3" spans="1:5" x14ac:dyDescent="0.25">
      <c r="A3" s="217">
        <v>1</v>
      </c>
      <c r="B3" s="218">
        <v>0.99</v>
      </c>
      <c r="D3" s="217">
        <v>1</v>
      </c>
      <c r="E3" s="218">
        <v>0.99</v>
      </c>
    </row>
    <row r="4" spans="1:5" x14ac:dyDescent="0.25">
      <c r="A4" s="217">
        <v>2</v>
      </c>
      <c r="B4" s="218">
        <v>0.98</v>
      </c>
      <c r="D4" s="217">
        <v>2</v>
      </c>
      <c r="E4" s="218">
        <v>0.98</v>
      </c>
    </row>
    <row r="5" spans="1:5" x14ac:dyDescent="0.25">
      <c r="A5" s="217">
        <v>3</v>
      </c>
      <c r="B5" s="218">
        <v>0.97</v>
      </c>
      <c r="D5" s="217">
        <v>3</v>
      </c>
      <c r="E5" s="218">
        <v>0.97</v>
      </c>
    </row>
    <row r="6" spans="1:5" x14ac:dyDescent="0.25">
      <c r="A6" s="217">
        <v>4</v>
      </c>
      <c r="B6" s="218">
        <v>0.96</v>
      </c>
      <c r="D6" s="217">
        <v>4</v>
      </c>
      <c r="E6" s="218">
        <v>0.96</v>
      </c>
    </row>
    <row r="7" spans="1:5" x14ac:dyDescent="0.25">
      <c r="A7" s="217">
        <v>5</v>
      </c>
      <c r="B7" s="218">
        <v>0.95</v>
      </c>
      <c r="D7" s="217">
        <v>5</v>
      </c>
      <c r="E7" s="218">
        <v>0.95</v>
      </c>
    </row>
    <row r="8" spans="1:5" x14ac:dyDescent="0.25">
      <c r="A8" s="217">
        <v>6</v>
      </c>
      <c r="B8" s="218">
        <v>0.94</v>
      </c>
      <c r="D8" s="217">
        <v>6</v>
      </c>
      <c r="E8" s="218">
        <v>0.94</v>
      </c>
    </row>
    <row r="9" spans="1:5" x14ac:dyDescent="0.25">
      <c r="A9" s="217">
        <v>7</v>
      </c>
      <c r="B9" s="218">
        <v>0.93</v>
      </c>
      <c r="D9" s="217">
        <v>7</v>
      </c>
      <c r="E9" s="218">
        <v>0.93</v>
      </c>
    </row>
    <row r="10" spans="1:5" x14ac:dyDescent="0.25">
      <c r="A10" s="217">
        <v>8</v>
      </c>
      <c r="B10" s="218">
        <v>0.92</v>
      </c>
      <c r="D10" s="217">
        <v>8</v>
      </c>
      <c r="E10" s="218">
        <v>0.92</v>
      </c>
    </row>
    <row r="11" spans="1:5" x14ac:dyDescent="0.25">
      <c r="A11" s="217">
        <v>9</v>
      </c>
      <c r="B11" s="218">
        <v>0.91</v>
      </c>
      <c r="D11" s="217">
        <v>9</v>
      </c>
      <c r="E11" s="218">
        <v>0.91</v>
      </c>
    </row>
    <row r="12" spans="1:5" x14ac:dyDescent="0.25">
      <c r="A12" s="217">
        <v>10</v>
      </c>
      <c r="B12" s="218">
        <v>0.9</v>
      </c>
      <c r="D12" s="217">
        <v>10</v>
      </c>
      <c r="E12" s="218">
        <v>0.9</v>
      </c>
    </row>
    <row r="13" spans="1:5" x14ac:dyDescent="0.25">
      <c r="A13" s="217">
        <v>11</v>
      </c>
      <c r="B13" s="218">
        <v>0.89</v>
      </c>
      <c r="D13" s="217">
        <v>11</v>
      </c>
      <c r="E13" s="218">
        <v>0.89</v>
      </c>
    </row>
    <row r="14" spans="1:5" x14ac:dyDescent="0.25">
      <c r="A14" s="217">
        <v>12</v>
      </c>
      <c r="B14" s="218">
        <v>0.88</v>
      </c>
      <c r="D14" s="217">
        <v>12</v>
      </c>
      <c r="E14" s="218">
        <v>0.88</v>
      </c>
    </row>
    <row r="15" spans="1:5" x14ac:dyDescent="0.25">
      <c r="A15" s="217">
        <v>13</v>
      </c>
      <c r="B15" s="218">
        <v>0.86750000000000005</v>
      </c>
      <c r="D15" s="217">
        <v>13</v>
      </c>
      <c r="E15" s="218">
        <v>0.86750000000000005</v>
      </c>
    </row>
    <row r="16" spans="1:5" x14ac:dyDescent="0.25">
      <c r="A16" s="217">
        <v>14</v>
      </c>
      <c r="B16" s="218">
        <v>0.85499999999999998</v>
      </c>
      <c r="D16" s="217">
        <v>14</v>
      </c>
      <c r="E16" s="218">
        <v>0.85499999999999998</v>
      </c>
    </row>
    <row r="17" spans="1:5" x14ac:dyDescent="0.25">
      <c r="A17" s="217">
        <v>15</v>
      </c>
      <c r="B17" s="218">
        <v>0.84250000000000003</v>
      </c>
      <c r="D17" s="217">
        <v>15</v>
      </c>
      <c r="E17" s="218">
        <v>0.84250000000000003</v>
      </c>
    </row>
    <row r="18" spans="1:5" x14ac:dyDescent="0.25">
      <c r="A18" s="217">
        <v>16</v>
      </c>
      <c r="B18" s="218">
        <v>0.83</v>
      </c>
      <c r="D18" s="217">
        <v>16</v>
      </c>
      <c r="E18" s="218">
        <v>0.83</v>
      </c>
    </row>
    <row r="19" spans="1:5" x14ac:dyDescent="0.25">
      <c r="A19" s="217">
        <v>17</v>
      </c>
      <c r="B19" s="218">
        <v>0.8175</v>
      </c>
      <c r="D19" s="217">
        <v>17</v>
      </c>
      <c r="E19" s="218">
        <v>0.8175</v>
      </c>
    </row>
    <row r="20" spans="1:5" x14ac:dyDescent="0.25">
      <c r="A20" s="217">
        <v>18</v>
      </c>
      <c r="B20" s="218">
        <v>0.80500000000000005</v>
      </c>
      <c r="D20" s="217">
        <v>18</v>
      </c>
      <c r="E20" s="218">
        <v>0.80500000000000005</v>
      </c>
    </row>
    <row r="21" spans="1:5" x14ac:dyDescent="0.25">
      <c r="A21" s="217">
        <v>19</v>
      </c>
      <c r="B21" s="218">
        <v>0.79249999999999998</v>
      </c>
      <c r="D21" s="217">
        <v>19</v>
      </c>
      <c r="E21" s="218">
        <v>0.79249999999999998</v>
      </c>
    </row>
    <row r="22" spans="1:5" x14ac:dyDescent="0.25">
      <c r="A22" s="217">
        <v>20</v>
      </c>
      <c r="B22" s="218">
        <v>0.78</v>
      </c>
      <c r="D22" s="217">
        <v>20</v>
      </c>
      <c r="E22" s="218">
        <v>0.78</v>
      </c>
    </row>
    <row r="23" spans="1:5" x14ac:dyDescent="0.25">
      <c r="D23" s="217">
        <v>21</v>
      </c>
      <c r="E23" s="218">
        <v>0.76249999999999996</v>
      </c>
    </row>
    <row r="24" spans="1:5" x14ac:dyDescent="0.25">
      <c r="D24" s="217">
        <v>22</v>
      </c>
      <c r="E24" s="218">
        <v>0.745</v>
      </c>
    </row>
    <row r="25" spans="1:5" x14ac:dyDescent="0.25">
      <c r="D25" s="217">
        <v>23</v>
      </c>
      <c r="E25" s="218">
        <v>0.72750000000000004</v>
      </c>
    </row>
    <row r="26" spans="1:5" x14ac:dyDescent="0.25">
      <c r="D26" s="217">
        <v>24</v>
      </c>
      <c r="E26" s="218">
        <v>0.71</v>
      </c>
    </row>
    <row r="27" spans="1:5" x14ac:dyDescent="0.25">
      <c r="D27" s="217">
        <v>25</v>
      </c>
      <c r="E27" s="218">
        <v>0.6925</v>
      </c>
    </row>
    <row r="28" spans="1:5" x14ac:dyDescent="0.25">
      <c r="D28" s="217">
        <v>26</v>
      </c>
      <c r="E28" s="218">
        <v>0.67500000000000004</v>
      </c>
    </row>
    <row r="29" spans="1:5" x14ac:dyDescent="0.25">
      <c r="D29" s="217">
        <v>27</v>
      </c>
      <c r="E29" s="218">
        <v>0.65749999999999997</v>
      </c>
    </row>
    <row r="30" spans="1:5" x14ac:dyDescent="0.25">
      <c r="D30" s="217">
        <v>28</v>
      </c>
      <c r="E30" s="218">
        <v>0.64</v>
      </c>
    </row>
    <row r="31" spans="1:5" x14ac:dyDescent="0.25">
      <c r="D31" s="217">
        <v>29</v>
      </c>
      <c r="E31" s="218">
        <v>0.62250000000000005</v>
      </c>
    </row>
    <row r="32" spans="1:5" x14ac:dyDescent="0.25">
      <c r="D32" s="217">
        <v>30</v>
      </c>
      <c r="E32" s="218">
        <v>0.60499999999999998</v>
      </c>
    </row>
    <row r="33" spans="4:5" x14ac:dyDescent="0.25">
      <c r="D33" s="217">
        <v>31</v>
      </c>
      <c r="E33" s="218">
        <v>0.58750000000000002</v>
      </c>
    </row>
    <row r="34" spans="4:5" x14ac:dyDescent="0.25">
      <c r="D34" s="217">
        <v>32</v>
      </c>
      <c r="E34" s="218">
        <v>0.56999999999999995</v>
      </c>
    </row>
    <row r="35" spans="4:5" x14ac:dyDescent="0.25">
      <c r="D35" s="217">
        <v>33</v>
      </c>
      <c r="E35" s="218">
        <v>0.55249999999999999</v>
      </c>
    </row>
    <row r="36" spans="4:5" x14ac:dyDescent="0.25">
      <c r="D36" s="217">
        <v>34</v>
      </c>
      <c r="E36" s="218">
        <v>0.53500000000000003</v>
      </c>
    </row>
    <row r="37" spans="4:5" x14ac:dyDescent="0.25">
      <c r="D37" s="217">
        <v>35</v>
      </c>
      <c r="E37" s="218">
        <v>0.51749999999999996</v>
      </c>
    </row>
    <row r="38" spans="4:5" x14ac:dyDescent="0.25">
      <c r="D38" s="217">
        <v>36</v>
      </c>
      <c r="E38" s="218">
        <v>0.5</v>
      </c>
    </row>
    <row r="39" spans="4:5" x14ac:dyDescent="0.25">
      <c r="D39" s="217">
        <v>37</v>
      </c>
      <c r="E39" s="218">
        <v>0.48249999999999998</v>
      </c>
    </row>
    <row r="40" spans="4:5" x14ac:dyDescent="0.25">
      <c r="D40" s="217">
        <v>38</v>
      </c>
      <c r="E40" s="218">
        <v>0.46500000000000002</v>
      </c>
    </row>
    <row r="41" spans="4:5" x14ac:dyDescent="0.25">
      <c r="D41" s="217">
        <v>39</v>
      </c>
      <c r="E41" s="218">
        <v>0.44750000000000001</v>
      </c>
    </row>
    <row r="42" spans="4:5" x14ac:dyDescent="0.25">
      <c r="D42" s="217">
        <v>40</v>
      </c>
      <c r="E42" s="218">
        <v>0.43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K131"/>
  <sheetViews>
    <sheetView topLeftCell="A2" zoomScaleNormal="100" workbookViewId="0">
      <selection activeCell="A22" sqref="A1:XFD1048576"/>
    </sheetView>
  </sheetViews>
  <sheetFormatPr baseColWidth="10" defaultColWidth="11.42578125" defaultRowHeight="15" x14ac:dyDescent="0.25"/>
  <cols>
    <col min="1" max="1" width="1.42578125" style="372" customWidth="1"/>
    <col min="2" max="2" width="11.42578125" style="372"/>
    <col min="3" max="3" width="13" style="372" customWidth="1"/>
    <col min="4" max="4" width="14.85546875" style="372" customWidth="1"/>
    <col min="5" max="5" width="2.28515625" style="372" customWidth="1"/>
    <col min="6" max="6" width="11.42578125" style="372"/>
    <col min="7" max="8" width="13.85546875" style="372" customWidth="1"/>
    <col min="9" max="9" width="14.85546875" style="372" customWidth="1"/>
    <col min="10" max="16384" width="11.42578125" style="372"/>
  </cols>
  <sheetData>
    <row r="1" spans="2:9" x14ac:dyDescent="0.25">
      <c r="B1" s="371" t="s">
        <v>293</v>
      </c>
      <c r="G1" s="371"/>
      <c r="H1" s="373"/>
    </row>
    <row r="2" spans="2:9" x14ac:dyDescent="0.25">
      <c r="B2" s="372" t="s">
        <v>294</v>
      </c>
      <c r="H2" s="373"/>
    </row>
    <row r="3" spans="2:9" ht="15.75" thickBot="1" x14ac:dyDescent="0.3"/>
    <row r="4" spans="2:9" ht="25.5" customHeight="1" x14ac:dyDescent="0.25">
      <c r="B4" s="790" t="s">
        <v>10</v>
      </c>
      <c r="C4" s="793" t="s">
        <v>295</v>
      </c>
      <c r="D4" s="794"/>
      <c r="F4" s="795" t="s">
        <v>10</v>
      </c>
      <c r="G4" s="798" t="s">
        <v>296</v>
      </c>
      <c r="H4" s="793" t="s">
        <v>297</v>
      </c>
      <c r="I4" s="794"/>
    </row>
    <row r="5" spans="2:9" ht="28.9" customHeight="1" x14ac:dyDescent="0.25">
      <c r="B5" s="791"/>
      <c r="C5" s="803" t="s">
        <v>298</v>
      </c>
      <c r="D5" s="374" t="s">
        <v>299</v>
      </c>
      <c r="F5" s="796"/>
      <c r="G5" s="799"/>
      <c r="H5" s="801"/>
      <c r="I5" s="802"/>
    </row>
    <row r="6" spans="2:9" ht="30.75" thickBot="1" x14ac:dyDescent="0.3">
      <c r="B6" s="792"/>
      <c r="C6" s="804"/>
      <c r="D6" s="375" t="s">
        <v>300</v>
      </c>
      <c r="F6" s="797"/>
      <c r="G6" s="800"/>
      <c r="H6" s="376" t="s">
        <v>301</v>
      </c>
      <c r="I6" s="377" t="s">
        <v>302</v>
      </c>
    </row>
    <row r="7" spans="2:9" x14ac:dyDescent="0.25">
      <c r="B7" s="378">
        <v>1947</v>
      </c>
      <c r="C7" s="379">
        <v>148.36199999999999</v>
      </c>
      <c r="D7" s="380">
        <f t="shared" ref="D7:D70" si="0">C7/C8-1</f>
        <v>0.43230066709788284</v>
      </c>
      <c r="E7" s="381"/>
      <c r="F7" s="382">
        <v>1947</v>
      </c>
      <c r="G7" s="383"/>
      <c r="H7" s="384"/>
      <c r="I7" s="385"/>
    </row>
    <row r="8" spans="2:9" x14ac:dyDescent="0.25">
      <c r="B8" s="386">
        <v>1948</v>
      </c>
      <c r="C8" s="387">
        <v>103.583</v>
      </c>
      <c r="D8" s="388">
        <f t="shared" si="0"/>
        <v>0.18310261330409339</v>
      </c>
      <c r="E8" s="381"/>
      <c r="F8" s="389">
        <v>1948</v>
      </c>
      <c r="G8" s="390"/>
      <c r="H8" s="391"/>
      <c r="I8" s="392"/>
    </row>
    <row r="9" spans="2:9" x14ac:dyDescent="0.25">
      <c r="B9" s="386">
        <v>1949</v>
      </c>
      <c r="C9" s="387">
        <v>87.552000000000007</v>
      </c>
      <c r="D9" s="388">
        <f t="shared" si="0"/>
        <v>0.13991094445746444</v>
      </c>
      <c r="E9" s="381"/>
      <c r="F9" s="389">
        <v>1949</v>
      </c>
      <c r="G9" s="390"/>
      <c r="H9" s="391"/>
      <c r="I9" s="392"/>
    </row>
    <row r="10" spans="2:9" x14ac:dyDescent="0.25">
      <c r="B10" s="386">
        <v>1950</v>
      </c>
      <c r="C10" s="387">
        <v>76.805999999999997</v>
      </c>
      <c r="D10" s="388">
        <f t="shared" si="0"/>
        <v>0.40920683265141355</v>
      </c>
      <c r="E10" s="381"/>
      <c r="F10" s="389">
        <v>1950</v>
      </c>
      <c r="G10" s="390"/>
      <c r="H10" s="391"/>
      <c r="I10" s="392"/>
    </row>
    <row r="11" spans="2:9" x14ac:dyDescent="0.25">
      <c r="B11" s="386">
        <v>1951</v>
      </c>
      <c r="C11" s="387">
        <v>54.503</v>
      </c>
      <c r="D11" s="388">
        <f t="shared" si="0"/>
        <v>0.20008367095296831</v>
      </c>
      <c r="E11" s="381"/>
      <c r="F11" s="389">
        <v>1951</v>
      </c>
      <c r="G11" s="390"/>
      <c r="H11" s="391"/>
      <c r="I11" s="392"/>
    </row>
    <row r="12" spans="2:9" x14ac:dyDescent="0.25">
      <c r="B12" s="386">
        <v>1952</v>
      </c>
      <c r="C12" s="387">
        <v>45.415999999999997</v>
      </c>
      <c r="D12" s="388">
        <f t="shared" si="0"/>
        <v>1.3908423191123509E-2</v>
      </c>
      <c r="E12" s="381"/>
      <c r="F12" s="389">
        <v>1952</v>
      </c>
      <c r="G12" s="390"/>
      <c r="H12" s="391"/>
      <c r="I12" s="392"/>
    </row>
    <row r="13" spans="2:9" x14ac:dyDescent="0.25">
      <c r="B13" s="386">
        <v>1953</v>
      </c>
      <c r="C13" s="387">
        <v>44.792999999999999</v>
      </c>
      <c r="D13" s="388">
        <f t="shared" si="0"/>
        <v>7.0118018061063658E-2</v>
      </c>
      <c r="E13" s="381"/>
      <c r="F13" s="389">
        <v>1953</v>
      </c>
      <c r="G13" s="390"/>
      <c r="H13" s="391"/>
      <c r="I13" s="392"/>
    </row>
    <row r="14" spans="2:9" x14ac:dyDescent="0.25">
      <c r="B14" s="386">
        <v>1954</v>
      </c>
      <c r="C14" s="387">
        <v>41.857999999999997</v>
      </c>
      <c r="D14" s="388">
        <f t="shared" si="0"/>
        <v>8.4994427019881247E-2</v>
      </c>
      <c r="E14" s="381"/>
      <c r="F14" s="389">
        <v>1954</v>
      </c>
      <c r="G14" s="390"/>
      <c r="H14" s="391"/>
      <c r="I14" s="392"/>
    </row>
    <row r="15" spans="2:9" x14ac:dyDescent="0.25">
      <c r="B15" s="386">
        <v>1955</v>
      </c>
      <c r="C15" s="387">
        <v>38.579000000000001</v>
      </c>
      <c r="D15" s="388">
        <f t="shared" si="0"/>
        <v>0.12011497590151565</v>
      </c>
      <c r="E15" s="381"/>
      <c r="F15" s="389">
        <v>1955</v>
      </c>
      <c r="G15" s="390"/>
      <c r="H15" s="391"/>
      <c r="I15" s="392"/>
    </row>
    <row r="16" spans="2:9" x14ac:dyDescent="0.25">
      <c r="B16" s="386">
        <v>1956</v>
      </c>
      <c r="C16" s="387">
        <v>34.442</v>
      </c>
      <c r="D16" s="388">
        <f t="shared" si="0"/>
        <v>7.5103009114745767E-2</v>
      </c>
      <c r="E16" s="381"/>
      <c r="F16" s="389">
        <v>1956</v>
      </c>
      <c r="G16" s="390"/>
      <c r="H16" s="391"/>
      <c r="I16" s="392"/>
    </row>
    <row r="17" spans="2:9" x14ac:dyDescent="0.25">
      <c r="B17" s="386">
        <v>1957</v>
      </c>
      <c r="C17" s="387">
        <v>32.036000000000001</v>
      </c>
      <c r="D17" s="388">
        <f t="shared" si="0"/>
        <v>0.13518301973707536</v>
      </c>
      <c r="E17" s="381"/>
      <c r="F17" s="389">
        <v>1957</v>
      </c>
      <c r="G17" s="390"/>
      <c r="H17" s="671">
        <v>0</v>
      </c>
      <c r="I17" s="392"/>
    </row>
    <row r="18" spans="2:9" x14ac:dyDescent="0.25">
      <c r="B18" s="386">
        <v>1958</v>
      </c>
      <c r="C18" s="387">
        <v>28.221</v>
      </c>
      <c r="D18" s="388">
        <f t="shared" si="0"/>
        <v>0.10501585809937741</v>
      </c>
      <c r="E18" s="381"/>
      <c r="F18" s="389">
        <v>1958</v>
      </c>
      <c r="G18" s="390"/>
      <c r="H18" s="671">
        <v>0</v>
      </c>
      <c r="I18" s="392"/>
    </row>
    <row r="19" spans="2:9" x14ac:dyDescent="0.25">
      <c r="B19" s="386">
        <v>1959</v>
      </c>
      <c r="C19" s="387">
        <v>25.539000000000001</v>
      </c>
      <c r="D19" s="388">
        <f t="shared" si="0"/>
        <v>7.6958758539259708E-2</v>
      </c>
      <c r="E19" s="381"/>
      <c r="F19" s="389">
        <v>1959</v>
      </c>
      <c r="G19" s="390"/>
      <c r="H19" s="671">
        <v>0</v>
      </c>
      <c r="I19" s="392"/>
    </row>
    <row r="20" spans="2:9" x14ac:dyDescent="0.25">
      <c r="B20" s="386">
        <v>1960</v>
      </c>
      <c r="C20" s="387">
        <v>23.713999999999999</v>
      </c>
      <c r="D20" s="388">
        <f t="shared" si="0"/>
        <v>0.15010427275813565</v>
      </c>
      <c r="E20" s="381"/>
      <c r="F20" s="389">
        <v>1960</v>
      </c>
      <c r="G20" s="390"/>
      <c r="H20" s="671">
        <v>0</v>
      </c>
      <c r="I20" s="392"/>
    </row>
    <row r="21" spans="2:9" x14ac:dyDescent="0.25">
      <c r="B21" s="386">
        <v>1961</v>
      </c>
      <c r="C21" s="387">
        <v>20.619</v>
      </c>
      <c r="D21" s="388">
        <f t="shared" si="0"/>
        <v>0.16000000000000014</v>
      </c>
      <c r="E21" s="381"/>
      <c r="F21" s="389">
        <v>1961</v>
      </c>
      <c r="G21" s="390"/>
      <c r="H21" s="671">
        <v>0.26985598952651113</v>
      </c>
      <c r="I21" s="392"/>
    </row>
    <row r="22" spans="2:9" x14ac:dyDescent="0.25">
      <c r="B22" s="386">
        <v>1962</v>
      </c>
      <c r="C22" s="387">
        <v>17.774999999999999</v>
      </c>
      <c r="D22" s="388">
        <f t="shared" si="0"/>
        <v>0.120390797352663</v>
      </c>
      <c r="E22" s="381"/>
      <c r="F22" s="389">
        <v>1962</v>
      </c>
      <c r="G22" s="390"/>
      <c r="H22" s="671">
        <v>0.20007302719188957</v>
      </c>
      <c r="I22" s="392"/>
    </row>
    <row r="23" spans="2:9" x14ac:dyDescent="0.25">
      <c r="B23" s="386">
        <v>1963</v>
      </c>
      <c r="C23" s="387">
        <v>15.865</v>
      </c>
      <c r="D23" s="388">
        <f t="shared" si="0"/>
        <v>0.11021693491952433</v>
      </c>
      <c r="E23" s="381"/>
      <c r="F23" s="389">
        <v>1963</v>
      </c>
      <c r="G23" s="390"/>
      <c r="H23" s="671">
        <v>0.10858554221180183</v>
      </c>
      <c r="I23" s="392"/>
    </row>
    <row r="24" spans="2:9" x14ac:dyDescent="0.25">
      <c r="B24" s="386">
        <v>1964</v>
      </c>
      <c r="C24" s="387">
        <v>14.29</v>
      </c>
      <c r="D24" s="388">
        <f t="shared" si="0"/>
        <v>6.9050647116031927E-2</v>
      </c>
      <c r="E24" s="381"/>
      <c r="F24" s="389">
        <v>1964</v>
      </c>
      <c r="G24" s="390"/>
      <c r="H24" s="671">
        <v>5.8088472715531081E-2</v>
      </c>
      <c r="I24" s="392"/>
    </row>
    <row r="25" spans="2:9" x14ac:dyDescent="0.25">
      <c r="B25" s="386">
        <v>1965</v>
      </c>
      <c r="C25" s="387">
        <v>13.367000000000001</v>
      </c>
      <c r="D25" s="388">
        <f t="shared" si="0"/>
        <v>5.8185560481317289E-2</v>
      </c>
      <c r="E25" s="381"/>
      <c r="F25" s="389">
        <v>1965</v>
      </c>
      <c r="G25" s="390"/>
      <c r="H25" s="671">
        <v>4.000732399523943E-2</v>
      </c>
      <c r="I25" s="392"/>
    </row>
    <row r="26" spans="2:9" x14ac:dyDescent="0.25">
      <c r="B26" s="386">
        <v>1966</v>
      </c>
      <c r="C26" s="387">
        <v>12.632</v>
      </c>
      <c r="D26" s="388">
        <f t="shared" si="0"/>
        <v>5.6275608328455462E-2</v>
      </c>
      <c r="E26" s="381"/>
      <c r="F26" s="389">
        <v>1966</v>
      </c>
      <c r="G26" s="390"/>
      <c r="H26" s="671">
        <v>4.0038145539906145E-2</v>
      </c>
      <c r="I26" s="392"/>
    </row>
    <row r="27" spans="2:9" x14ac:dyDescent="0.25">
      <c r="B27" s="386">
        <v>1967</v>
      </c>
      <c r="C27" s="387">
        <v>11.959</v>
      </c>
      <c r="D27" s="388">
        <f t="shared" si="0"/>
        <v>8.4913362968338957E-2</v>
      </c>
      <c r="E27" s="381"/>
      <c r="F27" s="389">
        <v>1967</v>
      </c>
      <c r="G27" s="390"/>
      <c r="H27" s="671">
        <v>3.6126902622409585E-2</v>
      </c>
      <c r="I27" s="392"/>
    </row>
    <row r="28" spans="2:9" x14ac:dyDescent="0.25">
      <c r="B28" s="386">
        <v>1968</v>
      </c>
      <c r="C28" s="387">
        <v>11.023</v>
      </c>
      <c r="D28" s="388">
        <f t="shared" si="0"/>
        <v>0.15351611552951039</v>
      </c>
      <c r="E28" s="381"/>
      <c r="F28" s="389">
        <v>1968</v>
      </c>
      <c r="G28" s="390"/>
      <c r="H28" s="671">
        <v>0.11144996596324042</v>
      </c>
      <c r="I28" s="392"/>
    </row>
    <row r="29" spans="2:9" x14ac:dyDescent="0.25">
      <c r="B29" s="386">
        <v>1969</v>
      </c>
      <c r="C29" s="387">
        <v>9.5559999999999992</v>
      </c>
      <c r="D29" s="388">
        <f t="shared" si="0"/>
        <v>0.100921658986175</v>
      </c>
      <c r="E29" s="381"/>
      <c r="F29" s="389">
        <v>1969</v>
      </c>
      <c r="G29" s="390"/>
      <c r="H29" s="671">
        <v>5.0051447890636425E-2</v>
      </c>
      <c r="I29" s="392"/>
    </row>
    <row r="30" spans="2:9" x14ac:dyDescent="0.25">
      <c r="B30" s="386">
        <v>1970</v>
      </c>
      <c r="C30" s="387">
        <v>8.68</v>
      </c>
      <c r="D30" s="388">
        <f t="shared" si="0"/>
        <v>0.11467831000385265</v>
      </c>
      <c r="E30" s="381"/>
      <c r="F30" s="389">
        <v>1970</v>
      </c>
      <c r="G30" s="390"/>
      <c r="H30" s="671">
        <v>7.2023517883390564E-2</v>
      </c>
      <c r="I30" s="392"/>
    </row>
    <row r="31" spans="2:9" x14ac:dyDescent="0.25">
      <c r="B31" s="386">
        <v>1971</v>
      </c>
      <c r="C31" s="387">
        <v>7.7869999999999999</v>
      </c>
      <c r="D31" s="388">
        <f t="shared" si="0"/>
        <v>0.10989167616875717</v>
      </c>
      <c r="E31" s="381"/>
      <c r="F31" s="389">
        <v>1971</v>
      </c>
      <c r="G31" s="390"/>
      <c r="H31" s="671">
        <v>8.460651170888811E-2</v>
      </c>
      <c r="I31" s="392"/>
    </row>
    <row r="32" spans="2:9" x14ac:dyDescent="0.25">
      <c r="B32" s="386">
        <v>1972</v>
      </c>
      <c r="C32" s="387">
        <v>7.016</v>
      </c>
      <c r="D32" s="388">
        <f t="shared" si="0"/>
        <v>8.2215023908684293E-2</v>
      </c>
      <c r="E32" s="381"/>
      <c r="F32" s="389">
        <v>1972</v>
      </c>
      <c r="G32" s="390"/>
      <c r="H32" s="671">
        <v>6.9598980646326414E-2</v>
      </c>
      <c r="I32" s="392"/>
    </row>
    <row r="33" spans="2:10" x14ac:dyDescent="0.25">
      <c r="B33" s="386">
        <v>1973</v>
      </c>
      <c r="C33" s="387">
        <v>6.4829999999999997</v>
      </c>
      <c r="D33" s="388">
        <f t="shared" si="0"/>
        <v>0.13418474457662688</v>
      </c>
      <c r="E33" s="381"/>
      <c r="F33" s="389">
        <v>1973</v>
      </c>
      <c r="G33" s="390"/>
      <c r="H33" s="671">
        <v>0.11969082995647584</v>
      </c>
      <c r="I33" s="392"/>
    </row>
    <row r="34" spans="2:10" x14ac:dyDescent="0.25">
      <c r="B34" s="386">
        <v>1974</v>
      </c>
      <c r="C34" s="387">
        <v>5.7160000000000002</v>
      </c>
      <c r="D34" s="388">
        <f t="shared" si="0"/>
        <v>0.18786367414796334</v>
      </c>
      <c r="E34" s="381"/>
      <c r="F34" s="389">
        <v>1974</v>
      </c>
      <c r="G34" s="390"/>
      <c r="H34" s="671">
        <v>0.15938107365458043</v>
      </c>
      <c r="I34" s="392"/>
    </row>
    <row r="35" spans="2:10" x14ac:dyDescent="0.25">
      <c r="B35" s="386">
        <v>1975</v>
      </c>
      <c r="C35" s="387">
        <v>4.8120000000000003</v>
      </c>
      <c r="D35" s="388">
        <f t="shared" si="0"/>
        <v>0.17681584739545109</v>
      </c>
      <c r="E35" s="381"/>
      <c r="F35" s="389">
        <v>1975</v>
      </c>
      <c r="G35" s="390"/>
      <c r="H35" s="671">
        <v>9.8812801225495184E-2</v>
      </c>
      <c r="I35" s="392"/>
    </row>
    <row r="36" spans="2:10" x14ac:dyDescent="0.25">
      <c r="B36" s="386">
        <v>1976</v>
      </c>
      <c r="C36" s="387">
        <v>4.0890000000000004</v>
      </c>
      <c r="D36" s="388">
        <f t="shared" si="0"/>
        <v>0.15934221718174091</v>
      </c>
      <c r="E36" s="381"/>
      <c r="F36" s="389">
        <v>1976</v>
      </c>
      <c r="G36" s="390"/>
      <c r="H36" s="671">
        <v>0.1046637030802009</v>
      </c>
      <c r="I36" s="392"/>
    </row>
    <row r="37" spans="2:10" x14ac:dyDescent="0.25">
      <c r="B37" s="386">
        <v>1977</v>
      </c>
      <c r="C37" s="387">
        <v>3.5270000000000001</v>
      </c>
      <c r="D37" s="388">
        <f t="shared" si="0"/>
        <v>0.11191677175283732</v>
      </c>
      <c r="E37" s="381"/>
      <c r="F37" s="389">
        <v>1977</v>
      </c>
      <c r="G37" s="390"/>
      <c r="H37" s="671">
        <v>0.10944494713782227</v>
      </c>
      <c r="I37" s="392"/>
    </row>
    <row r="38" spans="2:10" x14ac:dyDescent="0.25">
      <c r="B38" s="386">
        <v>1978</v>
      </c>
      <c r="C38" s="387">
        <v>3.1720000000000002</v>
      </c>
      <c r="D38" s="388">
        <f t="shared" si="0"/>
        <v>9.6439681991012938E-2</v>
      </c>
      <c r="E38" s="381"/>
      <c r="F38" s="389">
        <v>1978</v>
      </c>
      <c r="G38" s="390"/>
      <c r="H38" s="671">
        <v>0.11051194136363884</v>
      </c>
      <c r="I38" s="392"/>
    </row>
    <row r="39" spans="2:10" x14ac:dyDescent="0.25">
      <c r="B39" s="386">
        <v>1979</v>
      </c>
      <c r="C39" s="387">
        <v>2.8929999999999998</v>
      </c>
      <c r="D39" s="388">
        <f t="shared" si="0"/>
        <v>0.13718553459119498</v>
      </c>
      <c r="E39" s="381"/>
      <c r="F39" s="389">
        <v>1979</v>
      </c>
      <c r="G39" s="390"/>
      <c r="H39" s="671">
        <v>0.12234918947648143</v>
      </c>
      <c r="I39" s="392"/>
    </row>
    <row r="40" spans="2:10" x14ac:dyDescent="0.25">
      <c r="B40" s="386">
        <v>1980</v>
      </c>
      <c r="C40" s="387">
        <v>2.544</v>
      </c>
      <c r="D40" s="388">
        <f t="shared" si="0"/>
        <v>0.13318485523385304</v>
      </c>
      <c r="E40" s="381"/>
      <c r="F40" s="389">
        <v>1980</v>
      </c>
      <c r="G40" s="390"/>
      <c r="H40" s="671">
        <v>0.12574530645279358</v>
      </c>
      <c r="I40" s="392"/>
    </row>
    <row r="41" spans="2:10" x14ac:dyDescent="0.25">
      <c r="B41" s="386">
        <v>1981</v>
      </c>
      <c r="C41" s="387">
        <v>2.2450000000000001</v>
      </c>
      <c r="D41" s="388">
        <f t="shared" si="0"/>
        <v>0.12025948103792428</v>
      </c>
      <c r="E41" s="381"/>
      <c r="F41" s="389">
        <v>1981</v>
      </c>
      <c r="G41" s="390"/>
      <c r="H41" s="671">
        <v>0.14790283598984333</v>
      </c>
      <c r="I41" s="392"/>
    </row>
    <row r="42" spans="2:10" x14ac:dyDescent="0.25">
      <c r="B42" s="386">
        <v>1982</v>
      </c>
      <c r="C42" s="387">
        <v>2.004</v>
      </c>
      <c r="D42" s="388">
        <f t="shared" si="0"/>
        <v>5.9756742464304624E-2</v>
      </c>
      <c r="E42" s="381"/>
      <c r="F42" s="389">
        <v>1982</v>
      </c>
      <c r="G42" s="390"/>
      <c r="H42" s="671">
        <v>0.10223471876124335</v>
      </c>
      <c r="I42" s="392"/>
    </row>
    <row r="43" spans="2:10" x14ac:dyDescent="0.25">
      <c r="B43" s="386">
        <v>1983</v>
      </c>
      <c r="C43" s="387">
        <v>1.891</v>
      </c>
      <c r="D43" s="388">
        <f t="shared" si="0"/>
        <v>5.4656999442275644E-2</v>
      </c>
      <c r="E43" s="381"/>
      <c r="F43" s="389">
        <v>1983</v>
      </c>
      <c r="G43" s="390"/>
      <c r="H43" s="671">
        <v>9.0588164178202257E-2</v>
      </c>
      <c r="I43" s="392"/>
    </row>
    <row r="44" spans="2:10" x14ac:dyDescent="0.25">
      <c r="B44" s="386">
        <v>1984</v>
      </c>
      <c r="C44" s="387">
        <v>1.7929999999999999</v>
      </c>
      <c r="D44" s="388">
        <f t="shared" si="0"/>
        <v>4.3655413271245669E-2</v>
      </c>
      <c r="E44" s="381"/>
      <c r="F44" s="389">
        <v>1984</v>
      </c>
      <c r="G44" s="390"/>
      <c r="H44" s="671">
        <v>6.848616530684648E-2</v>
      </c>
      <c r="I44" s="392"/>
      <c r="J44" s="393"/>
    </row>
    <row r="45" spans="2:10" x14ac:dyDescent="0.25">
      <c r="B45" s="386">
        <v>1985</v>
      </c>
      <c r="C45" s="387">
        <v>1.718</v>
      </c>
      <c r="D45" s="388">
        <f t="shared" si="0"/>
        <v>2.3228111971411503E-2</v>
      </c>
      <c r="E45" s="381"/>
      <c r="F45" s="389">
        <v>1985</v>
      </c>
      <c r="G45" s="390"/>
      <c r="H45" s="671">
        <v>4.4996161268233914E-2</v>
      </c>
      <c r="I45" s="392"/>
      <c r="J45" s="393"/>
    </row>
    <row r="46" spans="2:10" x14ac:dyDescent="0.25">
      <c r="B46" s="386">
        <v>1986</v>
      </c>
      <c r="C46" s="387">
        <v>1.679</v>
      </c>
      <c r="D46" s="388">
        <f t="shared" si="0"/>
        <v>3.7700865265760219E-2</v>
      </c>
      <c r="E46" s="381"/>
      <c r="F46" s="389">
        <v>1986</v>
      </c>
      <c r="G46" s="390"/>
      <c r="H46" s="671">
        <v>0</v>
      </c>
      <c r="I46" s="392"/>
      <c r="J46" s="393"/>
    </row>
    <row r="47" spans="2:10" x14ac:dyDescent="0.25">
      <c r="B47" s="386">
        <v>1987</v>
      </c>
      <c r="C47" s="387">
        <v>1.6180000000000001</v>
      </c>
      <c r="D47" s="388">
        <f t="shared" si="0"/>
        <v>2.3402909550917173E-2</v>
      </c>
      <c r="E47" s="381"/>
      <c r="F47" s="389">
        <v>1987</v>
      </c>
      <c r="G47" s="390"/>
      <c r="H47" s="671">
        <v>2.1000665190671564E-2</v>
      </c>
      <c r="I47" s="392"/>
      <c r="J47" s="393"/>
    </row>
    <row r="48" spans="2:10" x14ac:dyDescent="0.25">
      <c r="B48" s="386">
        <v>1988</v>
      </c>
      <c r="C48" s="387">
        <v>1.581</v>
      </c>
      <c r="D48" s="388">
        <f t="shared" si="0"/>
        <v>3.6721311475409912E-2</v>
      </c>
      <c r="E48" s="381"/>
      <c r="F48" s="389">
        <v>1988</v>
      </c>
      <c r="G48" s="390"/>
      <c r="H48" s="671">
        <v>2.0012009150291776E-2</v>
      </c>
      <c r="I48" s="392"/>
      <c r="J48" s="393"/>
    </row>
    <row r="49" spans="2:10" x14ac:dyDescent="0.25">
      <c r="B49" s="386">
        <v>1989</v>
      </c>
      <c r="C49" s="387">
        <v>1.5249999999999999</v>
      </c>
      <c r="D49" s="388">
        <f t="shared" si="0"/>
        <v>2.8320971004720086E-2</v>
      </c>
      <c r="E49" s="381"/>
      <c r="F49" s="389">
        <v>1989</v>
      </c>
      <c r="G49" s="390"/>
      <c r="H49" s="671">
        <v>2.2019376288475501E-2</v>
      </c>
      <c r="I49" s="392"/>
      <c r="J49" s="393"/>
    </row>
    <row r="50" spans="2:10" x14ac:dyDescent="0.25">
      <c r="B50" s="386">
        <v>1990</v>
      </c>
      <c r="C50" s="387">
        <v>1.4830000000000001</v>
      </c>
      <c r="D50" s="388">
        <f t="shared" si="0"/>
        <v>1.5753424657534376E-2</v>
      </c>
      <c r="E50" s="381"/>
      <c r="F50" s="389">
        <v>1990</v>
      </c>
      <c r="G50" s="390"/>
      <c r="H50" s="671">
        <v>3.0005316866593024E-2</v>
      </c>
      <c r="I50" s="392"/>
      <c r="J50" s="393"/>
    </row>
    <row r="51" spans="2:10" x14ac:dyDescent="0.25">
      <c r="B51" s="386">
        <v>1991</v>
      </c>
      <c r="C51" s="387">
        <v>1.46</v>
      </c>
      <c r="D51" s="388">
        <f t="shared" si="0"/>
        <v>3.3262561924982226E-2</v>
      </c>
      <c r="E51" s="381"/>
      <c r="F51" s="389">
        <v>1991</v>
      </c>
      <c r="G51" s="390"/>
      <c r="H51" s="671">
        <v>1.5012757787684183E-2</v>
      </c>
      <c r="I51" s="392"/>
      <c r="J51" s="393"/>
    </row>
    <row r="52" spans="2:10" x14ac:dyDescent="0.25">
      <c r="B52" s="386">
        <v>1992</v>
      </c>
      <c r="C52" s="387">
        <v>1.413</v>
      </c>
      <c r="D52" s="388">
        <f t="shared" si="0"/>
        <v>0</v>
      </c>
      <c r="E52" s="381"/>
      <c r="F52" s="389">
        <v>1992</v>
      </c>
      <c r="G52" s="390"/>
      <c r="H52" s="671">
        <v>2.6592493787946925E-2</v>
      </c>
      <c r="I52" s="392"/>
      <c r="J52" s="393"/>
    </row>
    <row r="53" spans="2:10" x14ac:dyDescent="0.25">
      <c r="B53" s="386">
        <v>1993</v>
      </c>
      <c r="C53" s="387">
        <v>1.413</v>
      </c>
      <c r="D53" s="388">
        <f t="shared" si="0"/>
        <v>1.8011527377521652E-2</v>
      </c>
      <c r="E53" s="381"/>
      <c r="F53" s="389">
        <v>1993</v>
      </c>
      <c r="G53" s="390"/>
      <c r="H53" s="671">
        <v>1.7256064174655306E-2</v>
      </c>
      <c r="I53" s="392"/>
      <c r="J53" s="393"/>
    </row>
    <row r="54" spans="2:10" x14ac:dyDescent="0.25">
      <c r="B54" s="386">
        <v>1994</v>
      </c>
      <c r="C54" s="387">
        <v>1.3879999999999999</v>
      </c>
      <c r="D54" s="388">
        <f t="shared" si="0"/>
        <v>1.1661807580174877E-2</v>
      </c>
      <c r="E54" s="381"/>
      <c r="F54" s="389">
        <v>1994</v>
      </c>
      <c r="G54" s="390"/>
      <c r="H54" s="671">
        <v>2.315105534979689E-2</v>
      </c>
      <c r="I54" s="392"/>
      <c r="J54" s="393"/>
    </row>
    <row r="55" spans="2:10" x14ac:dyDescent="0.25">
      <c r="B55" s="386">
        <v>1995</v>
      </c>
      <c r="C55" s="387">
        <v>1.3720000000000001</v>
      </c>
      <c r="D55" s="388">
        <f t="shared" si="0"/>
        <v>2.4645257654966501E-2</v>
      </c>
      <c r="E55" s="381"/>
      <c r="F55" s="389">
        <v>1995</v>
      </c>
      <c r="G55" s="390"/>
      <c r="H55" s="671">
        <v>2.6161473827044368E-2</v>
      </c>
      <c r="I55" s="392"/>
      <c r="J55" s="393"/>
    </row>
    <row r="56" spans="2:10" x14ac:dyDescent="0.25">
      <c r="B56" s="386">
        <v>1996</v>
      </c>
      <c r="C56" s="387">
        <v>1.339</v>
      </c>
      <c r="D56" s="388">
        <f t="shared" si="0"/>
        <v>1.0566037735848965E-2</v>
      </c>
      <c r="E56" s="381"/>
      <c r="F56" s="389">
        <v>1996</v>
      </c>
      <c r="G56" s="390"/>
      <c r="H56" s="671">
        <v>0</v>
      </c>
      <c r="I56" s="392"/>
      <c r="J56" s="393"/>
    </row>
    <row r="57" spans="2:10" x14ac:dyDescent="0.25">
      <c r="B57" s="386">
        <v>1997</v>
      </c>
      <c r="C57" s="387">
        <v>1.325</v>
      </c>
      <c r="D57" s="388">
        <f t="shared" si="0"/>
        <v>1.1450381679389166E-2</v>
      </c>
      <c r="E57" s="381"/>
      <c r="F57" s="389">
        <v>1997</v>
      </c>
      <c r="G57" s="390"/>
      <c r="H57" s="671">
        <v>1.0017149587941754E-2</v>
      </c>
      <c r="I57" s="392"/>
      <c r="J57" s="393"/>
    </row>
    <row r="58" spans="2:10" x14ac:dyDescent="0.25">
      <c r="B58" s="386">
        <v>1998</v>
      </c>
      <c r="C58" s="387">
        <v>1.31</v>
      </c>
      <c r="D58" s="388">
        <f t="shared" si="0"/>
        <v>1.1583011583011782E-2</v>
      </c>
      <c r="E58" s="381"/>
      <c r="F58" s="389">
        <v>1998</v>
      </c>
      <c r="G58" s="390"/>
      <c r="H58" s="671">
        <v>1.2987405358916293E-2</v>
      </c>
      <c r="I58" s="392"/>
      <c r="J58" s="393"/>
    </row>
    <row r="59" spans="2:10" x14ac:dyDescent="0.25">
      <c r="B59" s="386">
        <v>1999</v>
      </c>
      <c r="C59" s="387">
        <v>1.2949999999999999</v>
      </c>
      <c r="D59" s="388">
        <f t="shared" si="0"/>
        <v>5.4347826086955653E-3</v>
      </c>
      <c r="E59" s="381"/>
      <c r="F59" s="389">
        <v>1999</v>
      </c>
      <c r="G59" s="390"/>
      <c r="H59" s="671">
        <v>1.3003823601343445E-2</v>
      </c>
      <c r="I59" s="392"/>
      <c r="J59" s="393"/>
    </row>
    <row r="60" spans="2:10" x14ac:dyDescent="0.25">
      <c r="B60" s="386">
        <v>2000</v>
      </c>
      <c r="C60" s="387">
        <v>1.288</v>
      </c>
      <c r="D60" s="388">
        <f t="shared" si="0"/>
        <v>1.9794140934283666E-2</v>
      </c>
      <c r="E60" s="381"/>
      <c r="F60" s="389">
        <v>2000</v>
      </c>
      <c r="G60" s="390"/>
      <c r="H60" s="671">
        <v>4.9973599963883952E-3</v>
      </c>
      <c r="I60" s="392"/>
      <c r="J60" s="393"/>
    </row>
    <row r="61" spans="2:10" x14ac:dyDescent="0.25">
      <c r="B61" s="386">
        <v>2001</v>
      </c>
      <c r="C61" s="387">
        <v>1.2629999999999999</v>
      </c>
      <c r="D61" s="388">
        <f t="shared" si="0"/>
        <v>2.2672064777327749E-2</v>
      </c>
      <c r="E61" s="381"/>
      <c r="F61" s="389">
        <v>2001</v>
      </c>
      <c r="G61" s="390"/>
      <c r="H61" s="671">
        <v>1.2030897532298912E-2</v>
      </c>
      <c r="I61" s="392"/>
      <c r="J61" s="393"/>
    </row>
    <row r="62" spans="2:10" x14ac:dyDescent="0.25">
      <c r="B62" s="386">
        <v>2002</v>
      </c>
      <c r="C62" s="387">
        <v>1.2350000000000001</v>
      </c>
      <c r="D62" s="388">
        <f t="shared" si="0"/>
        <v>1.7298187808896248E-2</v>
      </c>
      <c r="E62" s="381"/>
      <c r="F62" s="389">
        <v>2002</v>
      </c>
      <c r="G62" s="390"/>
      <c r="H62" s="671">
        <v>1.3041925990254111E-2</v>
      </c>
      <c r="I62" s="392"/>
      <c r="J62" s="393"/>
    </row>
    <row r="63" spans="2:10" x14ac:dyDescent="0.25">
      <c r="B63" s="386">
        <v>2003</v>
      </c>
      <c r="C63" s="387">
        <v>1.214</v>
      </c>
      <c r="D63" s="388">
        <f t="shared" si="0"/>
        <v>1.5899581589958078E-2</v>
      </c>
      <c r="E63" s="381"/>
      <c r="F63" s="389">
        <v>2003</v>
      </c>
      <c r="G63" s="390"/>
      <c r="H63" s="671">
        <v>0</v>
      </c>
      <c r="I63" s="392"/>
      <c r="J63" s="393"/>
    </row>
    <row r="64" spans="2:10" x14ac:dyDescent="0.25">
      <c r="B64" s="386">
        <v>2004</v>
      </c>
      <c r="C64" s="387">
        <v>1.1950000000000001</v>
      </c>
      <c r="D64" s="388">
        <f t="shared" si="0"/>
        <v>1.7021276595744705E-2</v>
      </c>
      <c r="E64" s="381"/>
      <c r="F64" s="389">
        <v>2004</v>
      </c>
      <c r="G64" s="390"/>
      <c r="H64" s="671">
        <v>1.4999999999999902E-2</v>
      </c>
      <c r="I64" s="392"/>
      <c r="J64" s="393"/>
    </row>
    <row r="65" spans="2:11" x14ac:dyDescent="0.25">
      <c r="B65" s="386">
        <v>2005</v>
      </c>
      <c r="C65" s="387">
        <v>1.175</v>
      </c>
      <c r="D65" s="388">
        <f t="shared" si="0"/>
        <v>1.8197573656845822E-2</v>
      </c>
      <c r="E65" s="381"/>
      <c r="F65" s="389">
        <v>2005</v>
      </c>
      <c r="G65" s="390"/>
      <c r="H65" s="671">
        <v>2.0000000000000018E-2</v>
      </c>
      <c r="I65" s="392"/>
      <c r="J65" s="393"/>
    </row>
    <row r="66" spans="2:11" x14ac:dyDescent="0.25">
      <c r="B66" s="386">
        <v>2006</v>
      </c>
      <c r="C66" s="387">
        <v>1.1539999999999999</v>
      </c>
      <c r="D66" s="388">
        <f t="shared" si="0"/>
        <v>1.6740088105726691E-2</v>
      </c>
      <c r="E66" s="381"/>
      <c r="F66" s="389">
        <v>2006</v>
      </c>
      <c r="G66" s="394"/>
      <c r="H66" s="670">
        <v>1.8000000000000016E-2</v>
      </c>
      <c r="I66" s="392"/>
      <c r="J66" s="393"/>
    </row>
    <row r="67" spans="2:11" x14ac:dyDescent="0.25">
      <c r="B67" s="386">
        <v>2007</v>
      </c>
      <c r="C67" s="387">
        <v>1.135</v>
      </c>
      <c r="D67" s="388">
        <f t="shared" si="0"/>
        <v>1.0685663401602818E-2</v>
      </c>
      <c r="E67" s="381"/>
      <c r="F67" s="389">
        <v>2007</v>
      </c>
      <c r="G67" s="394"/>
      <c r="H67" s="670">
        <v>1.8000000000000016E-2</v>
      </c>
      <c r="I67" s="392"/>
      <c r="J67" s="393"/>
    </row>
    <row r="68" spans="2:11" x14ac:dyDescent="0.25">
      <c r="B68" s="386">
        <v>2008</v>
      </c>
      <c r="C68" s="387">
        <v>1.123</v>
      </c>
      <c r="D68" s="388">
        <f t="shared" si="0"/>
        <v>8.9847259658579759E-3</v>
      </c>
      <c r="E68" s="381"/>
      <c r="F68" s="389">
        <v>2008</v>
      </c>
      <c r="G68" s="394"/>
      <c r="H68" s="670">
        <v>1.9087999999999994E-2</v>
      </c>
      <c r="I68" s="392"/>
      <c r="J68" s="393"/>
    </row>
    <row r="69" spans="2:11" x14ac:dyDescent="0.25">
      <c r="B69" s="386">
        <v>2009</v>
      </c>
      <c r="C69" s="387">
        <v>1.113</v>
      </c>
      <c r="D69" s="388">
        <f t="shared" si="0"/>
        <v>9.0661831368994417E-3</v>
      </c>
      <c r="E69" s="381"/>
      <c r="F69" s="389">
        <v>2009</v>
      </c>
      <c r="G69" s="394"/>
      <c r="H69" s="670">
        <v>1.0000000000000009E-2</v>
      </c>
      <c r="I69" s="392"/>
      <c r="J69" s="393"/>
    </row>
    <row r="70" spans="2:11" x14ac:dyDescent="0.25">
      <c r="B70" s="386">
        <v>2010</v>
      </c>
      <c r="C70" s="387">
        <v>1.103</v>
      </c>
      <c r="D70" s="388">
        <f t="shared" si="0"/>
        <v>9.1491308325708509E-3</v>
      </c>
      <c r="E70" s="381"/>
      <c r="F70" s="389">
        <v>2010</v>
      </c>
      <c r="G70" s="394"/>
      <c r="H70" s="670">
        <v>8.999999999999897E-3</v>
      </c>
      <c r="I70" s="392"/>
      <c r="J70" s="393"/>
    </row>
    <row r="71" spans="2:11" x14ac:dyDescent="0.25">
      <c r="B71" s="386">
        <v>2011</v>
      </c>
      <c r="C71" s="387">
        <v>1.093</v>
      </c>
      <c r="D71" s="388">
        <f t="shared" ref="D71:D78" si="1">C71/C72-1</f>
        <v>1.9589552238805874E-2</v>
      </c>
      <c r="E71" s="381"/>
      <c r="F71" s="389">
        <v>2011</v>
      </c>
      <c r="G71" s="394">
        <v>40634</v>
      </c>
      <c r="H71" s="388">
        <v>2.1000000000000001E-2</v>
      </c>
      <c r="I71" s="388">
        <v>2.1000000000000001E-2</v>
      </c>
      <c r="J71" s="393"/>
    </row>
    <row r="72" spans="2:11" x14ac:dyDescent="0.25">
      <c r="B72" s="386">
        <v>2012</v>
      </c>
      <c r="C72" s="387">
        <v>1.0720000000000001</v>
      </c>
      <c r="D72" s="388">
        <f t="shared" si="1"/>
        <v>1.9980970504281714E-2</v>
      </c>
      <c r="E72" s="381"/>
      <c r="F72" s="389">
        <v>2012</v>
      </c>
      <c r="G72" s="394">
        <v>41000</v>
      </c>
      <c r="H72" s="388">
        <v>2.1000000000000001E-2</v>
      </c>
      <c r="I72" s="388">
        <v>2.1000000000000001E-2</v>
      </c>
      <c r="J72" s="393"/>
    </row>
    <row r="73" spans="2:11" x14ac:dyDescent="0.25">
      <c r="B73" s="386">
        <v>2013</v>
      </c>
      <c r="C73" s="387">
        <v>1.0509999999999999</v>
      </c>
      <c r="D73" s="388">
        <f t="shared" si="1"/>
        <v>1.2524084778420042E-2</v>
      </c>
      <c r="E73" s="381"/>
      <c r="F73" s="389">
        <v>2013</v>
      </c>
      <c r="G73" s="394">
        <v>41365</v>
      </c>
      <c r="H73" s="388">
        <v>1.2999999999999999E-2</v>
      </c>
      <c r="I73" s="388">
        <v>1.2999999999999999E-2</v>
      </c>
      <c r="J73" s="393"/>
    </row>
    <row r="74" spans="2:11" x14ac:dyDescent="0.25">
      <c r="B74" s="386">
        <v>2014</v>
      </c>
      <c r="C74" s="387">
        <v>1.038</v>
      </c>
      <c r="D74" s="388">
        <f t="shared" si="1"/>
        <v>0</v>
      </c>
      <c r="E74" s="381"/>
      <c r="F74" s="389">
        <v>2014</v>
      </c>
      <c r="G74" s="394">
        <v>41913</v>
      </c>
      <c r="H74" s="388">
        <v>0</v>
      </c>
      <c r="I74" s="388">
        <v>0</v>
      </c>
      <c r="J74" s="393"/>
    </row>
    <row r="75" spans="2:11" x14ac:dyDescent="0.25">
      <c r="B75" s="386">
        <v>2015</v>
      </c>
      <c r="C75" s="387">
        <v>1.038</v>
      </c>
      <c r="D75" s="388">
        <f t="shared" si="1"/>
        <v>9.6432015429126494E-4</v>
      </c>
      <c r="E75" s="381"/>
      <c r="F75" s="389">
        <v>2015</v>
      </c>
      <c r="G75" s="394">
        <v>42278</v>
      </c>
      <c r="H75" s="388">
        <v>1E-3</v>
      </c>
      <c r="I75" s="388">
        <v>1E-3</v>
      </c>
      <c r="J75" s="393"/>
    </row>
    <row r="76" spans="2:11" x14ac:dyDescent="0.25">
      <c r="B76" s="386">
        <v>2016</v>
      </c>
      <c r="C76" s="387">
        <v>1.0369999999999999</v>
      </c>
      <c r="D76" s="388">
        <f t="shared" si="1"/>
        <v>0</v>
      </c>
      <c r="F76" s="389">
        <v>2016</v>
      </c>
      <c r="G76" s="394">
        <f>DATE(F76,10,1)</f>
        <v>42644</v>
      </c>
      <c r="H76" s="388">
        <v>0</v>
      </c>
      <c r="I76" s="395">
        <v>0</v>
      </c>
      <c r="J76" s="393"/>
    </row>
    <row r="77" spans="2:11" x14ac:dyDescent="0.25">
      <c r="B77" s="386">
        <v>2017</v>
      </c>
      <c r="C77" s="387">
        <v>1.0369999999999999</v>
      </c>
      <c r="D77" s="388">
        <f t="shared" si="1"/>
        <v>7.7745383867833251E-3</v>
      </c>
      <c r="F77" s="389">
        <v>2017</v>
      </c>
      <c r="G77" s="394">
        <f>DATE(F77,10,1)</f>
        <v>43009</v>
      </c>
      <c r="H77" s="388">
        <v>8.0000000000000002E-3</v>
      </c>
      <c r="I77" s="395">
        <v>8.0000000000000002E-3</v>
      </c>
      <c r="J77" s="393"/>
    </row>
    <row r="78" spans="2:11" ht="15" customHeight="1" x14ac:dyDescent="0.25">
      <c r="B78" s="386">
        <v>2018</v>
      </c>
      <c r="C78" s="387">
        <v>1.0289999999999999</v>
      </c>
      <c r="D78" s="388">
        <f t="shared" si="1"/>
        <v>1.4792899408283988E-2</v>
      </c>
      <c r="F78" s="389">
        <v>2018</v>
      </c>
      <c r="G78" s="394"/>
      <c r="H78" s="388"/>
      <c r="I78" s="395"/>
      <c r="J78" s="393"/>
      <c r="K78" s="396"/>
    </row>
    <row r="79" spans="2:11" ht="15" customHeight="1" x14ac:dyDescent="0.25">
      <c r="B79" s="386">
        <v>2019</v>
      </c>
      <c r="C79" s="387">
        <v>1.014</v>
      </c>
      <c r="D79" s="388">
        <v>0.01</v>
      </c>
      <c r="F79" s="389">
        <v>2019</v>
      </c>
      <c r="G79" s="394">
        <v>43466</v>
      </c>
      <c r="H79" s="388">
        <v>3.0000000000000001E-3</v>
      </c>
      <c r="I79" s="395">
        <v>3.0000000000000001E-3</v>
      </c>
      <c r="J79" s="393"/>
      <c r="K79" s="397"/>
    </row>
    <row r="80" spans="2:11" ht="15" customHeight="1" x14ac:dyDescent="0.25">
      <c r="B80" s="398">
        <v>2020</v>
      </c>
      <c r="C80" s="387">
        <v>1.004</v>
      </c>
      <c r="D80" s="388">
        <v>3.9816282044060625E-3</v>
      </c>
      <c r="F80" s="389">
        <v>2020</v>
      </c>
      <c r="G80" s="394">
        <f>DATE(F80,1,1)</f>
        <v>43831</v>
      </c>
      <c r="H80" s="388">
        <v>0.01</v>
      </c>
      <c r="I80" s="395">
        <f>I79</f>
        <v>3.0000000000000001E-3</v>
      </c>
      <c r="J80" s="393"/>
      <c r="K80" s="397"/>
    </row>
    <row r="81" spans="2:11" x14ac:dyDescent="0.25">
      <c r="B81" s="398">
        <v>2021</v>
      </c>
      <c r="C81" s="399"/>
      <c r="D81" s="400">
        <v>7.4713057737119115E-3</v>
      </c>
      <c r="F81" s="401">
        <v>2021</v>
      </c>
      <c r="G81" s="402">
        <f t="shared" ref="G81:G130" si="2">DATE(F81,1,1)</f>
        <v>44197</v>
      </c>
      <c r="H81" s="403">
        <v>3.9816282044060625E-3</v>
      </c>
      <c r="I81" s="400">
        <v>3.9816282044060625E-3</v>
      </c>
      <c r="J81" s="404"/>
      <c r="K81" s="397"/>
    </row>
    <row r="82" spans="2:11" x14ac:dyDescent="0.25">
      <c r="B82" s="398">
        <v>2022</v>
      </c>
      <c r="C82" s="399"/>
      <c r="D82" s="400">
        <v>8.7527307519159603E-3</v>
      </c>
      <c r="F82" s="401">
        <v>2022</v>
      </c>
      <c r="G82" s="402">
        <f t="shared" si="2"/>
        <v>44562</v>
      </c>
      <c r="H82" s="403">
        <v>7.4713057737119115E-3</v>
      </c>
      <c r="I82" s="400">
        <v>7.4713057737119115E-3</v>
      </c>
      <c r="J82" s="404"/>
      <c r="K82" s="397"/>
    </row>
    <row r="83" spans="2:11" x14ac:dyDescent="0.25">
      <c r="B83" s="398">
        <v>2023</v>
      </c>
      <c r="C83" s="399"/>
      <c r="D83" s="400">
        <v>1.1304687541422952E-2</v>
      </c>
      <c r="F83" s="401">
        <v>2023</v>
      </c>
      <c r="G83" s="402">
        <f t="shared" si="2"/>
        <v>44927</v>
      </c>
      <c r="H83" s="403">
        <v>8.7527307519159603E-3</v>
      </c>
      <c r="I83" s="400">
        <v>8.7527307519159603E-3</v>
      </c>
      <c r="J83" s="404"/>
      <c r="K83" s="397"/>
    </row>
    <row r="84" spans="2:11" x14ac:dyDescent="0.25">
      <c r="B84" s="398">
        <v>2024</v>
      </c>
      <c r="C84" s="399"/>
      <c r="D84" s="400">
        <v>1.4499999999999999E-2</v>
      </c>
      <c r="F84" s="401">
        <v>2024</v>
      </c>
      <c r="G84" s="402">
        <f t="shared" si="2"/>
        <v>45292</v>
      </c>
      <c r="H84" s="403">
        <v>1.1304687541422952E-2</v>
      </c>
      <c r="I84" s="400">
        <v>1.1304687541422952E-2</v>
      </c>
    </row>
    <row r="85" spans="2:11" x14ac:dyDescent="0.25">
      <c r="B85" s="398">
        <v>2025</v>
      </c>
      <c r="C85" s="399"/>
      <c r="D85" s="400">
        <v>1.7500000000000002E-2</v>
      </c>
      <c r="F85" s="401">
        <v>2025</v>
      </c>
      <c r="G85" s="402">
        <f t="shared" si="2"/>
        <v>45658</v>
      </c>
      <c r="H85" s="403">
        <v>1.4499999999999999E-2</v>
      </c>
      <c r="I85" s="400">
        <v>1.4499999999999999E-2</v>
      </c>
    </row>
    <row r="86" spans="2:11" x14ac:dyDescent="0.25">
      <c r="B86" s="398">
        <v>2026</v>
      </c>
      <c r="C86" s="399"/>
      <c r="D86" s="405">
        <v>1.7500000000000002E-2</v>
      </c>
      <c r="F86" s="406">
        <v>2026</v>
      </c>
      <c r="G86" s="407">
        <f t="shared" si="2"/>
        <v>46023</v>
      </c>
      <c r="H86" s="408">
        <v>1.7500000000000002E-2</v>
      </c>
      <c r="I86" s="405">
        <f t="shared" ref="I86:I130" si="3">H86</f>
        <v>1.7500000000000002E-2</v>
      </c>
    </row>
    <row r="87" spans="2:11" x14ac:dyDescent="0.25">
      <c r="B87" s="398">
        <v>2027</v>
      </c>
      <c r="C87" s="399"/>
      <c r="D87" s="405">
        <v>1.7500000000000002E-2</v>
      </c>
      <c r="F87" s="406">
        <v>2027</v>
      </c>
      <c r="G87" s="407">
        <f t="shared" si="2"/>
        <v>46388</v>
      </c>
      <c r="H87" s="408">
        <v>1.7500000000000002E-2</v>
      </c>
      <c r="I87" s="405">
        <f t="shared" si="3"/>
        <v>1.7500000000000002E-2</v>
      </c>
    </row>
    <row r="88" spans="2:11" x14ac:dyDescent="0.25">
      <c r="B88" s="398">
        <v>2028</v>
      </c>
      <c r="C88" s="399"/>
      <c r="D88" s="405">
        <v>1.7500000000000002E-2</v>
      </c>
      <c r="F88" s="406">
        <v>2028</v>
      </c>
      <c r="G88" s="407">
        <f t="shared" si="2"/>
        <v>46753</v>
      </c>
      <c r="H88" s="408">
        <v>1.7500000000000002E-2</v>
      </c>
      <c r="I88" s="405">
        <f t="shared" si="3"/>
        <v>1.7500000000000002E-2</v>
      </c>
    </row>
    <row r="89" spans="2:11" x14ac:dyDescent="0.25">
      <c r="B89" s="398">
        <v>2029</v>
      </c>
      <c r="C89" s="399"/>
      <c r="D89" s="405">
        <v>1.7500000000000002E-2</v>
      </c>
      <c r="F89" s="406">
        <v>2029</v>
      </c>
      <c r="G89" s="407">
        <f t="shared" si="2"/>
        <v>47119</v>
      </c>
      <c r="H89" s="408">
        <v>1.7500000000000002E-2</v>
      </c>
      <c r="I89" s="405">
        <f t="shared" si="3"/>
        <v>1.7500000000000002E-2</v>
      </c>
    </row>
    <row r="90" spans="2:11" x14ac:dyDescent="0.25">
      <c r="B90" s="398">
        <v>2030</v>
      </c>
      <c r="C90" s="399"/>
      <c r="D90" s="405">
        <v>1.7500000000000002E-2</v>
      </c>
      <c r="F90" s="406">
        <v>2030</v>
      </c>
      <c r="G90" s="407">
        <f t="shared" si="2"/>
        <v>47484</v>
      </c>
      <c r="H90" s="408">
        <v>1.7500000000000002E-2</v>
      </c>
      <c r="I90" s="405">
        <f t="shared" si="3"/>
        <v>1.7500000000000002E-2</v>
      </c>
    </row>
    <row r="91" spans="2:11" x14ac:dyDescent="0.25">
      <c r="B91" s="398">
        <v>2031</v>
      </c>
      <c r="C91" s="399"/>
      <c r="D91" s="405">
        <v>1.7500000000000002E-2</v>
      </c>
      <c r="F91" s="406">
        <v>2031</v>
      </c>
      <c r="G91" s="407">
        <f t="shared" si="2"/>
        <v>47849</v>
      </c>
      <c r="H91" s="408">
        <v>1.7500000000000002E-2</v>
      </c>
      <c r="I91" s="405">
        <f t="shared" si="3"/>
        <v>1.7500000000000002E-2</v>
      </c>
    </row>
    <row r="92" spans="2:11" x14ac:dyDescent="0.25">
      <c r="B92" s="398">
        <v>2032</v>
      </c>
      <c r="C92" s="399"/>
      <c r="D92" s="405">
        <v>1.7500000000000002E-2</v>
      </c>
      <c r="F92" s="406">
        <v>2032</v>
      </c>
      <c r="G92" s="407">
        <f t="shared" si="2"/>
        <v>48214</v>
      </c>
      <c r="H92" s="408">
        <v>1.7500000000000002E-2</v>
      </c>
      <c r="I92" s="405">
        <f t="shared" si="3"/>
        <v>1.7500000000000002E-2</v>
      </c>
    </row>
    <row r="93" spans="2:11" x14ac:dyDescent="0.25">
      <c r="B93" s="398">
        <v>2033</v>
      </c>
      <c r="C93" s="399"/>
      <c r="D93" s="405">
        <v>1.7500000000000002E-2</v>
      </c>
      <c r="F93" s="406">
        <v>2033</v>
      </c>
      <c r="G93" s="407">
        <f t="shared" si="2"/>
        <v>48580</v>
      </c>
      <c r="H93" s="408">
        <v>1.7500000000000002E-2</v>
      </c>
      <c r="I93" s="405">
        <f t="shared" si="3"/>
        <v>1.7500000000000002E-2</v>
      </c>
    </row>
    <row r="94" spans="2:11" x14ac:dyDescent="0.25">
      <c r="B94" s="398">
        <v>2034</v>
      </c>
      <c r="C94" s="399"/>
      <c r="D94" s="405">
        <v>1.7500000000000002E-2</v>
      </c>
      <c r="F94" s="406">
        <v>2034</v>
      </c>
      <c r="G94" s="407">
        <f t="shared" si="2"/>
        <v>48945</v>
      </c>
      <c r="H94" s="408">
        <v>1.7500000000000002E-2</v>
      </c>
      <c r="I94" s="405">
        <f t="shared" si="3"/>
        <v>1.7500000000000002E-2</v>
      </c>
    </row>
    <row r="95" spans="2:11" x14ac:dyDescent="0.25">
      <c r="B95" s="398">
        <v>2035</v>
      </c>
      <c r="C95" s="399"/>
      <c r="D95" s="405">
        <v>1.7500000000000002E-2</v>
      </c>
      <c r="F95" s="406">
        <v>2035</v>
      </c>
      <c r="G95" s="407">
        <f t="shared" si="2"/>
        <v>49310</v>
      </c>
      <c r="H95" s="408">
        <v>1.7500000000000002E-2</v>
      </c>
      <c r="I95" s="405">
        <f t="shared" si="3"/>
        <v>1.7500000000000002E-2</v>
      </c>
    </row>
    <row r="96" spans="2:11" x14ac:dyDescent="0.25">
      <c r="B96" s="398">
        <v>2036</v>
      </c>
      <c r="C96" s="399"/>
      <c r="D96" s="405">
        <v>1.7500000000000002E-2</v>
      </c>
      <c r="F96" s="406">
        <v>2036</v>
      </c>
      <c r="G96" s="407">
        <f t="shared" si="2"/>
        <v>49675</v>
      </c>
      <c r="H96" s="408">
        <v>1.7500000000000002E-2</v>
      </c>
      <c r="I96" s="405">
        <f t="shared" si="3"/>
        <v>1.7500000000000002E-2</v>
      </c>
    </row>
    <row r="97" spans="2:9" x14ac:dyDescent="0.25">
      <c r="B97" s="398">
        <v>2037</v>
      </c>
      <c r="C97" s="399"/>
      <c r="D97" s="405">
        <v>1.7500000000000002E-2</v>
      </c>
      <c r="F97" s="406">
        <v>2037</v>
      </c>
      <c r="G97" s="407">
        <f t="shared" si="2"/>
        <v>50041</v>
      </c>
      <c r="H97" s="408">
        <v>1.7500000000000002E-2</v>
      </c>
      <c r="I97" s="405">
        <f t="shared" si="3"/>
        <v>1.7500000000000002E-2</v>
      </c>
    </row>
    <row r="98" spans="2:9" x14ac:dyDescent="0.25">
      <c r="B98" s="398">
        <v>2038</v>
      </c>
      <c r="C98" s="399"/>
      <c r="D98" s="405">
        <v>1.7500000000000002E-2</v>
      </c>
      <c r="F98" s="406">
        <v>2038</v>
      </c>
      <c r="G98" s="407">
        <f t="shared" si="2"/>
        <v>50406</v>
      </c>
      <c r="H98" s="408">
        <v>1.7500000000000002E-2</v>
      </c>
      <c r="I98" s="405">
        <f t="shared" si="3"/>
        <v>1.7500000000000002E-2</v>
      </c>
    </row>
    <row r="99" spans="2:9" x14ac:dyDescent="0.25">
      <c r="B99" s="398">
        <v>2039</v>
      </c>
      <c r="C99" s="399"/>
      <c r="D99" s="405">
        <v>1.7500000000000002E-2</v>
      </c>
      <c r="F99" s="406">
        <v>2039</v>
      </c>
      <c r="G99" s="407">
        <f t="shared" si="2"/>
        <v>50771</v>
      </c>
      <c r="H99" s="408">
        <v>1.7500000000000002E-2</v>
      </c>
      <c r="I99" s="405">
        <f t="shared" si="3"/>
        <v>1.7500000000000002E-2</v>
      </c>
    </row>
    <row r="100" spans="2:9" x14ac:dyDescent="0.25">
      <c r="B100" s="398">
        <v>2040</v>
      </c>
      <c r="C100" s="399"/>
      <c r="D100" s="405">
        <v>1.7500000000000002E-2</v>
      </c>
      <c r="F100" s="406">
        <v>2040</v>
      </c>
      <c r="G100" s="407">
        <f t="shared" si="2"/>
        <v>51136</v>
      </c>
      <c r="H100" s="408">
        <v>1.7500000000000002E-2</v>
      </c>
      <c r="I100" s="405">
        <f t="shared" si="3"/>
        <v>1.7500000000000002E-2</v>
      </c>
    </row>
    <row r="101" spans="2:9" x14ac:dyDescent="0.25">
      <c r="B101" s="398">
        <v>2041</v>
      </c>
      <c r="C101" s="399"/>
      <c r="D101" s="405">
        <v>1.7500000000000002E-2</v>
      </c>
      <c r="F101" s="406">
        <v>2041</v>
      </c>
      <c r="G101" s="407">
        <f t="shared" si="2"/>
        <v>51502</v>
      </c>
      <c r="H101" s="408">
        <v>1.7500000000000002E-2</v>
      </c>
      <c r="I101" s="405">
        <f t="shared" si="3"/>
        <v>1.7500000000000002E-2</v>
      </c>
    </row>
    <row r="102" spans="2:9" x14ac:dyDescent="0.25">
      <c r="B102" s="398">
        <v>2042</v>
      </c>
      <c r="C102" s="399"/>
      <c r="D102" s="405">
        <v>1.7500000000000002E-2</v>
      </c>
      <c r="F102" s="406">
        <v>2042</v>
      </c>
      <c r="G102" s="407">
        <f t="shared" si="2"/>
        <v>51867</v>
      </c>
      <c r="H102" s="408">
        <v>1.7500000000000002E-2</v>
      </c>
      <c r="I102" s="405">
        <f t="shared" si="3"/>
        <v>1.7500000000000002E-2</v>
      </c>
    </row>
    <row r="103" spans="2:9" x14ac:dyDescent="0.25">
      <c r="B103" s="398">
        <v>2043</v>
      </c>
      <c r="C103" s="399"/>
      <c r="D103" s="405">
        <v>1.7500000000000002E-2</v>
      </c>
      <c r="F103" s="406">
        <v>2043</v>
      </c>
      <c r="G103" s="407">
        <f t="shared" si="2"/>
        <v>52232</v>
      </c>
      <c r="H103" s="408">
        <v>1.7500000000000002E-2</v>
      </c>
      <c r="I103" s="405">
        <f t="shared" si="3"/>
        <v>1.7500000000000002E-2</v>
      </c>
    </row>
    <row r="104" spans="2:9" x14ac:dyDescent="0.25">
      <c r="B104" s="398">
        <v>2044</v>
      </c>
      <c r="C104" s="399"/>
      <c r="D104" s="405">
        <v>1.7500000000000002E-2</v>
      </c>
      <c r="F104" s="406">
        <v>2044</v>
      </c>
      <c r="G104" s="407">
        <f t="shared" si="2"/>
        <v>52597</v>
      </c>
      <c r="H104" s="408">
        <v>1.7500000000000002E-2</v>
      </c>
      <c r="I104" s="405">
        <f t="shared" si="3"/>
        <v>1.7500000000000002E-2</v>
      </c>
    </row>
    <row r="105" spans="2:9" x14ac:dyDescent="0.25">
      <c r="B105" s="398">
        <v>2045</v>
      </c>
      <c r="C105" s="399"/>
      <c r="D105" s="405">
        <v>1.7500000000000002E-2</v>
      </c>
      <c r="F105" s="406">
        <v>2045</v>
      </c>
      <c r="G105" s="407">
        <f t="shared" si="2"/>
        <v>52963</v>
      </c>
      <c r="H105" s="408">
        <v>1.7500000000000002E-2</v>
      </c>
      <c r="I105" s="405">
        <f t="shared" si="3"/>
        <v>1.7500000000000002E-2</v>
      </c>
    </row>
    <row r="106" spans="2:9" x14ac:dyDescent="0.25">
      <c r="B106" s="398">
        <v>2046</v>
      </c>
      <c r="C106" s="399"/>
      <c r="D106" s="405">
        <v>1.7500000000000002E-2</v>
      </c>
      <c r="F106" s="406">
        <v>2046</v>
      </c>
      <c r="G106" s="407">
        <f t="shared" si="2"/>
        <v>53328</v>
      </c>
      <c r="H106" s="408">
        <v>1.7500000000000002E-2</v>
      </c>
      <c r="I106" s="405">
        <f t="shared" si="3"/>
        <v>1.7500000000000002E-2</v>
      </c>
    </row>
    <row r="107" spans="2:9" x14ac:dyDescent="0.25">
      <c r="B107" s="398">
        <v>2047</v>
      </c>
      <c r="C107" s="399"/>
      <c r="D107" s="405">
        <v>1.7500000000000002E-2</v>
      </c>
      <c r="F107" s="406">
        <v>2047</v>
      </c>
      <c r="G107" s="407">
        <f t="shared" si="2"/>
        <v>53693</v>
      </c>
      <c r="H107" s="408">
        <v>1.7500000000000002E-2</v>
      </c>
      <c r="I107" s="405">
        <f t="shared" si="3"/>
        <v>1.7500000000000002E-2</v>
      </c>
    </row>
    <row r="108" spans="2:9" x14ac:dyDescent="0.25">
      <c r="B108" s="398">
        <v>2048</v>
      </c>
      <c r="C108" s="399"/>
      <c r="D108" s="405">
        <v>1.7500000000000002E-2</v>
      </c>
      <c r="F108" s="406">
        <v>2048</v>
      </c>
      <c r="G108" s="407">
        <f t="shared" si="2"/>
        <v>54058</v>
      </c>
      <c r="H108" s="408">
        <v>1.7500000000000002E-2</v>
      </c>
      <c r="I108" s="405">
        <f t="shared" si="3"/>
        <v>1.7500000000000002E-2</v>
      </c>
    </row>
    <row r="109" spans="2:9" x14ac:dyDescent="0.25">
      <c r="B109" s="398">
        <v>2049</v>
      </c>
      <c r="C109" s="399"/>
      <c r="D109" s="405">
        <v>1.7500000000000002E-2</v>
      </c>
      <c r="F109" s="406">
        <v>2049</v>
      </c>
      <c r="G109" s="407">
        <f t="shared" si="2"/>
        <v>54424</v>
      </c>
      <c r="H109" s="408">
        <v>1.7500000000000002E-2</v>
      </c>
      <c r="I109" s="405">
        <f t="shared" si="3"/>
        <v>1.7500000000000002E-2</v>
      </c>
    </row>
    <row r="110" spans="2:9" x14ac:dyDescent="0.25">
      <c r="B110" s="398">
        <v>2050</v>
      </c>
      <c r="C110" s="399"/>
      <c r="D110" s="405">
        <v>1.7500000000000002E-2</v>
      </c>
      <c r="F110" s="406">
        <v>2050</v>
      </c>
      <c r="G110" s="407">
        <f t="shared" si="2"/>
        <v>54789</v>
      </c>
      <c r="H110" s="408">
        <v>1.7500000000000002E-2</v>
      </c>
      <c r="I110" s="405">
        <f t="shared" si="3"/>
        <v>1.7500000000000002E-2</v>
      </c>
    </row>
    <row r="111" spans="2:9" x14ac:dyDescent="0.25">
      <c r="B111" s="398">
        <v>2051</v>
      </c>
      <c r="C111" s="399"/>
      <c r="D111" s="405">
        <v>1.7500000000000002E-2</v>
      </c>
      <c r="F111" s="406">
        <v>2051</v>
      </c>
      <c r="G111" s="407">
        <f t="shared" si="2"/>
        <v>55154</v>
      </c>
      <c r="H111" s="408">
        <v>1.7500000000000002E-2</v>
      </c>
      <c r="I111" s="405">
        <f t="shared" si="3"/>
        <v>1.7500000000000002E-2</v>
      </c>
    </row>
    <row r="112" spans="2:9" x14ac:dyDescent="0.25">
      <c r="B112" s="398">
        <v>2052</v>
      </c>
      <c r="C112" s="409"/>
      <c r="D112" s="405">
        <v>1.7500000000000002E-2</v>
      </c>
      <c r="F112" s="406">
        <v>2052</v>
      </c>
      <c r="G112" s="407">
        <f t="shared" si="2"/>
        <v>55519</v>
      </c>
      <c r="H112" s="408">
        <v>1.7500000000000002E-2</v>
      </c>
      <c r="I112" s="405">
        <f t="shared" si="3"/>
        <v>1.7500000000000002E-2</v>
      </c>
    </row>
    <row r="113" spans="2:9" x14ac:dyDescent="0.25">
      <c r="B113" s="398">
        <v>2053</v>
      </c>
      <c r="C113" s="409"/>
      <c r="D113" s="405">
        <v>1.7500000000000002E-2</v>
      </c>
      <c r="F113" s="406">
        <v>2053</v>
      </c>
      <c r="G113" s="407">
        <f t="shared" si="2"/>
        <v>55885</v>
      </c>
      <c r="H113" s="408">
        <v>1.7500000000000002E-2</v>
      </c>
      <c r="I113" s="405">
        <f t="shared" si="3"/>
        <v>1.7500000000000002E-2</v>
      </c>
    </row>
    <row r="114" spans="2:9" x14ac:dyDescent="0.25">
      <c r="B114" s="398">
        <v>2054</v>
      </c>
      <c r="C114" s="409"/>
      <c r="D114" s="405">
        <v>1.7500000000000002E-2</v>
      </c>
      <c r="F114" s="406">
        <v>2054</v>
      </c>
      <c r="G114" s="407">
        <f t="shared" si="2"/>
        <v>56250</v>
      </c>
      <c r="H114" s="408">
        <v>1.7500000000000002E-2</v>
      </c>
      <c r="I114" s="405">
        <f t="shared" si="3"/>
        <v>1.7500000000000002E-2</v>
      </c>
    </row>
    <row r="115" spans="2:9" x14ac:dyDescent="0.25">
      <c r="B115" s="398">
        <v>2055</v>
      </c>
      <c r="C115" s="409"/>
      <c r="D115" s="405">
        <v>1.7500000000000002E-2</v>
      </c>
      <c r="F115" s="406">
        <v>2055</v>
      </c>
      <c r="G115" s="407">
        <f t="shared" si="2"/>
        <v>56615</v>
      </c>
      <c r="H115" s="408">
        <v>1.7500000000000002E-2</v>
      </c>
      <c r="I115" s="405">
        <f t="shared" si="3"/>
        <v>1.7500000000000002E-2</v>
      </c>
    </row>
    <row r="116" spans="2:9" x14ac:dyDescent="0.25">
      <c r="B116" s="398">
        <v>2056</v>
      </c>
      <c r="C116" s="409"/>
      <c r="D116" s="405">
        <v>1.7500000000000002E-2</v>
      </c>
      <c r="F116" s="406">
        <v>2056</v>
      </c>
      <c r="G116" s="407">
        <f t="shared" si="2"/>
        <v>56980</v>
      </c>
      <c r="H116" s="408">
        <v>1.7500000000000002E-2</v>
      </c>
      <c r="I116" s="405">
        <f t="shared" si="3"/>
        <v>1.7500000000000002E-2</v>
      </c>
    </row>
    <row r="117" spans="2:9" x14ac:dyDescent="0.25">
      <c r="B117" s="398">
        <v>2057</v>
      </c>
      <c r="C117" s="409"/>
      <c r="D117" s="405">
        <v>1.7500000000000002E-2</v>
      </c>
      <c r="F117" s="406">
        <v>2057</v>
      </c>
      <c r="G117" s="407">
        <f t="shared" si="2"/>
        <v>57346</v>
      </c>
      <c r="H117" s="408">
        <v>1.7500000000000002E-2</v>
      </c>
      <c r="I117" s="405">
        <f t="shared" si="3"/>
        <v>1.7500000000000002E-2</v>
      </c>
    </row>
    <row r="118" spans="2:9" x14ac:dyDescent="0.25">
      <c r="B118" s="398">
        <v>2058</v>
      </c>
      <c r="C118" s="409"/>
      <c r="D118" s="405">
        <v>1.7500000000000002E-2</v>
      </c>
      <c r="F118" s="406">
        <v>2058</v>
      </c>
      <c r="G118" s="407">
        <f t="shared" si="2"/>
        <v>57711</v>
      </c>
      <c r="H118" s="408">
        <v>1.7500000000000002E-2</v>
      </c>
      <c r="I118" s="405">
        <f t="shared" si="3"/>
        <v>1.7500000000000002E-2</v>
      </c>
    </row>
    <row r="119" spans="2:9" x14ac:dyDescent="0.25">
      <c r="B119" s="398">
        <v>2059</v>
      </c>
      <c r="C119" s="409"/>
      <c r="D119" s="405">
        <v>1.7500000000000002E-2</v>
      </c>
      <c r="F119" s="406">
        <v>2059</v>
      </c>
      <c r="G119" s="407">
        <f t="shared" si="2"/>
        <v>58076</v>
      </c>
      <c r="H119" s="408">
        <v>1.7500000000000002E-2</v>
      </c>
      <c r="I119" s="405">
        <f t="shared" si="3"/>
        <v>1.7500000000000002E-2</v>
      </c>
    </row>
    <row r="120" spans="2:9" x14ac:dyDescent="0.25">
      <c r="B120" s="398">
        <v>2060</v>
      </c>
      <c r="C120" s="409"/>
      <c r="D120" s="405">
        <v>1.7500000000000002E-2</v>
      </c>
      <c r="F120" s="406">
        <v>2060</v>
      </c>
      <c r="G120" s="407">
        <f t="shared" si="2"/>
        <v>58441</v>
      </c>
      <c r="H120" s="408">
        <v>1.7500000000000002E-2</v>
      </c>
      <c r="I120" s="405">
        <f t="shared" si="3"/>
        <v>1.7500000000000002E-2</v>
      </c>
    </row>
    <row r="121" spans="2:9" x14ac:dyDescent="0.25">
      <c r="B121" s="398">
        <v>2061</v>
      </c>
      <c r="C121" s="409"/>
      <c r="D121" s="405">
        <v>1.7500000000000002E-2</v>
      </c>
      <c r="F121" s="406">
        <v>2061</v>
      </c>
      <c r="G121" s="407">
        <f t="shared" si="2"/>
        <v>58807</v>
      </c>
      <c r="H121" s="408">
        <v>1.7500000000000002E-2</v>
      </c>
      <c r="I121" s="405">
        <f t="shared" si="3"/>
        <v>1.7500000000000002E-2</v>
      </c>
    </row>
    <row r="122" spans="2:9" x14ac:dyDescent="0.25">
      <c r="B122" s="398">
        <v>2062</v>
      </c>
      <c r="C122" s="409"/>
      <c r="D122" s="405">
        <v>1.7500000000000002E-2</v>
      </c>
      <c r="F122" s="406">
        <v>2062</v>
      </c>
      <c r="G122" s="407">
        <f t="shared" si="2"/>
        <v>59172</v>
      </c>
      <c r="H122" s="408">
        <v>1.7500000000000002E-2</v>
      </c>
      <c r="I122" s="405">
        <f t="shared" si="3"/>
        <v>1.7500000000000002E-2</v>
      </c>
    </row>
    <row r="123" spans="2:9" x14ac:dyDescent="0.25">
      <c r="B123" s="398">
        <v>2063</v>
      </c>
      <c r="C123" s="409"/>
      <c r="D123" s="405">
        <v>1.7500000000000002E-2</v>
      </c>
      <c r="F123" s="406">
        <v>2063</v>
      </c>
      <c r="G123" s="407">
        <f t="shared" si="2"/>
        <v>59537</v>
      </c>
      <c r="H123" s="408">
        <v>1.7500000000000002E-2</v>
      </c>
      <c r="I123" s="405">
        <f t="shared" si="3"/>
        <v>1.7500000000000002E-2</v>
      </c>
    </row>
    <row r="124" spans="2:9" x14ac:dyDescent="0.25">
      <c r="B124" s="398">
        <v>2064</v>
      </c>
      <c r="C124" s="409"/>
      <c r="D124" s="405">
        <v>1.7500000000000002E-2</v>
      </c>
      <c r="F124" s="406">
        <v>2064</v>
      </c>
      <c r="G124" s="407">
        <f t="shared" si="2"/>
        <v>59902</v>
      </c>
      <c r="H124" s="408">
        <v>1.7500000000000002E-2</v>
      </c>
      <c r="I124" s="405">
        <f t="shared" si="3"/>
        <v>1.7500000000000002E-2</v>
      </c>
    </row>
    <row r="125" spans="2:9" x14ac:dyDescent="0.25">
      <c r="B125" s="398">
        <v>2065</v>
      </c>
      <c r="C125" s="409"/>
      <c r="D125" s="405">
        <v>1.7500000000000002E-2</v>
      </c>
      <c r="F125" s="406">
        <v>2065</v>
      </c>
      <c r="G125" s="407">
        <f t="shared" si="2"/>
        <v>60268</v>
      </c>
      <c r="H125" s="408">
        <v>1.7500000000000002E-2</v>
      </c>
      <c r="I125" s="405">
        <f t="shared" si="3"/>
        <v>1.7500000000000002E-2</v>
      </c>
    </row>
    <row r="126" spans="2:9" x14ac:dyDescent="0.25">
      <c r="B126" s="398">
        <v>2066</v>
      </c>
      <c r="C126" s="409"/>
      <c r="D126" s="405">
        <v>1.7500000000000002E-2</v>
      </c>
      <c r="F126" s="406">
        <v>2066</v>
      </c>
      <c r="G126" s="407">
        <f t="shared" si="2"/>
        <v>60633</v>
      </c>
      <c r="H126" s="408">
        <v>1.7500000000000002E-2</v>
      </c>
      <c r="I126" s="405">
        <f t="shared" si="3"/>
        <v>1.7500000000000002E-2</v>
      </c>
    </row>
    <row r="127" spans="2:9" x14ac:dyDescent="0.25">
      <c r="B127" s="398">
        <v>2067</v>
      </c>
      <c r="C127" s="409"/>
      <c r="D127" s="405">
        <v>1.7500000000000002E-2</v>
      </c>
      <c r="F127" s="406">
        <v>2067</v>
      </c>
      <c r="G127" s="407">
        <f t="shared" si="2"/>
        <v>60998</v>
      </c>
      <c r="H127" s="408">
        <v>1.7500000000000002E-2</v>
      </c>
      <c r="I127" s="405">
        <f t="shared" si="3"/>
        <v>1.7500000000000002E-2</v>
      </c>
    </row>
    <row r="128" spans="2:9" x14ac:dyDescent="0.25">
      <c r="B128" s="398">
        <v>2068</v>
      </c>
      <c r="C128" s="409"/>
      <c r="D128" s="405">
        <v>1.7500000000000002E-2</v>
      </c>
      <c r="F128" s="406">
        <v>2068</v>
      </c>
      <c r="G128" s="407">
        <f t="shared" si="2"/>
        <v>61363</v>
      </c>
      <c r="H128" s="408">
        <v>1.7500000000000002E-2</v>
      </c>
      <c r="I128" s="405">
        <f t="shared" si="3"/>
        <v>1.7500000000000002E-2</v>
      </c>
    </row>
    <row r="129" spans="2:9" x14ac:dyDescent="0.25">
      <c r="B129" s="398">
        <v>2069</v>
      </c>
      <c r="C129" s="409"/>
      <c r="D129" s="405">
        <v>1.7500000000000002E-2</v>
      </c>
      <c r="F129" s="406">
        <v>2069</v>
      </c>
      <c r="G129" s="407">
        <f t="shared" si="2"/>
        <v>61729</v>
      </c>
      <c r="H129" s="408">
        <v>1.7500000000000002E-2</v>
      </c>
      <c r="I129" s="405">
        <f t="shared" si="3"/>
        <v>1.7500000000000002E-2</v>
      </c>
    </row>
    <row r="130" spans="2:9" ht="15.75" thickBot="1" x14ac:dyDescent="0.3">
      <c r="B130" s="410">
        <v>2070</v>
      </c>
      <c r="C130" s="411"/>
      <c r="D130" s="412">
        <v>1.7500000000000002E-2</v>
      </c>
      <c r="F130" s="413">
        <v>2070</v>
      </c>
      <c r="G130" s="414">
        <f t="shared" si="2"/>
        <v>62094</v>
      </c>
      <c r="H130" s="415">
        <v>1.7500000000000002E-2</v>
      </c>
      <c r="I130" s="412">
        <f t="shared" si="3"/>
        <v>1.7500000000000002E-2</v>
      </c>
    </row>
    <row r="131" spans="2:9" ht="41.25" customHeight="1" x14ac:dyDescent="0.25">
      <c r="B131" s="789" t="s">
        <v>303</v>
      </c>
      <c r="C131" s="789"/>
      <c r="D131" s="789"/>
      <c r="F131" s="789" t="s">
        <v>303</v>
      </c>
      <c r="G131" s="789"/>
      <c r="H131" s="789"/>
      <c r="I131" s="789"/>
    </row>
  </sheetData>
  <mergeCells count="8">
    <mergeCell ref="B131:D131"/>
    <mergeCell ref="F131:I131"/>
    <mergeCell ref="B4:B6"/>
    <mergeCell ref="C4:D4"/>
    <mergeCell ref="F4:F6"/>
    <mergeCell ref="G4:G6"/>
    <mergeCell ref="H4:I5"/>
    <mergeCell ref="C5:C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T68"/>
  <sheetViews>
    <sheetView topLeftCell="L2" workbookViewId="0">
      <selection activeCell="A22" sqref="A1:XFD1048576"/>
    </sheetView>
  </sheetViews>
  <sheetFormatPr baseColWidth="10" defaultColWidth="11.42578125" defaultRowHeight="15" x14ac:dyDescent="0.25"/>
  <cols>
    <col min="1" max="1" width="1.42578125" style="372" customWidth="1"/>
    <col min="2" max="2" width="11.42578125" style="372"/>
    <col min="3" max="3" width="14.5703125" style="372" customWidth="1"/>
    <col min="4" max="11" width="13" style="372" customWidth="1"/>
    <col min="12" max="12" width="2.28515625" style="372" customWidth="1"/>
    <col min="13" max="13" width="11.42578125" style="372"/>
    <col min="14" max="19" width="13.85546875" style="372" customWidth="1"/>
    <col min="20" max="20" width="12.140625" style="372" customWidth="1"/>
    <col min="21" max="16384" width="11.42578125" style="372"/>
  </cols>
  <sheetData>
    <row r="1" spans="2:20" x14ac:dyDescent="0.25">
      <c r="B1" s="371" t="s">
        <v>304</v>
      </c>
      <c r="N1" s="371"/>
      <c r="O1" s="371"/>
      <c r="P1" s="371"/>
      <c r="Q1" s="371"/>
      <c r="R1" s="371"/>
      <c r="S1" s="371"/>
    </row>
    <row r="2" spans="2:20" x14ac:dyDescent="0.25">
      <c r="B2" s="372" t="s">
        <v>305</v>
      </c>
    </row>
    <row r="3" spans="2:20" ht="15.75" thickBot="1" x14ac:dyDescent="0.3"/>
    <row r="4" spans="2:20" ht="69.599999999999994" customHeight="1" x14ac:dyDescent="0.25">
      <c r="B4" s="790" t="s">
        <v>10</v>
      </c>
      <c r="C4" s="793" t="s">
        <v>306</v>
      </c>
      <c r="D4" s="810"/>
      <c r="E4" s="810"/>
      <c r="F4" s="810"/>
      <c r="G4" s="810"/>
      <c r="H4" s="810"/>
      <c r="I4" s="810"/>
      <c r="J4" s="810"/>
      <c r="K4" s="805"/>
      <c r="M4" s="795" t="s">
        <v>10</v>
      </c>
      <c r="N4" s="798" t="s">
        <v>296</v>
      </c>
      <c r="O4" s="416" t="s">
        <v>307</v>
      </c>
      <c r="P4" s="416" t="s">
        <v>308</v>
      </c>
      <c r="Q4" s="416" t="s">
        <v>309</v>
      </c>
      <c r="R4" s="416" t="s">
        <v>310</v>
      </c>
      <c r="S4" s="416" t="s">
        <v>311</v>
      </c>
      <c r="T4" s="805" t="s">
        <v>312</v>
      </c>
    </row>
    <row r="5" spans="2:20" ht="26.25" customHeight="1" x14ac:dyDescent="0.25">
      <c r="B5" s="791"/>
      <c r="C5" s="799" t="s">
        <v>296</v>
      </c>
      <c r="D5" s="807" t="s">
        <v>313</v>
      </c>
      <c r="E5" s="808"/>
      <c r="F5" s="808"/>
      <c r="G5" s="808"/>
      <c r="H5" s="807" t="s">
        <v>314</v>
      </c>
      <c r="I5" s="808"/>
      <c r="J5" s="808"/>
      <c r="K5" s="806"/>
      <c r="M5" s="796"/>
      <c r="N5" s="799"/>
      <c r="O5" s="417" t="s">
        <v>315</v>
      </c>
      <c r="P5" s="417" t="s">
        <v>315</v>
      </c>
      <c r="Q5" s="418" t="s">
        <v>315</v>
      </c>
      <c r="R5" s="417" t="s">
        <v>315</v>
      </c>
      <c r="S5" s="417" t="s">
        <v>315</v>
      </c>
      <c r="T5" s="806"/>
    </row>
    <row r="6" spans="2:20" ht="45.75" thickBot="1" x14ac:dyDescent="0.3">
      <c r="B6" s="792"/>
      <c r="C6" s="800"/>
      <c r="D6" s="419" t="s">
        <v>316</v>
      </c>
      <c r="E6" s="420" t="s">
        <v>317</v>
      </c>
      <c r="F6" s="420" t="s">
        <v>318</v>
      </c>
      <c r="G6" s="421" t="s">
        <v>319</v>
      </c>
      <c r="H6" s="422" t="s">
        <v>316</v>
      </c>
      <c r="I6" s="420" t="s">
        <v>317</v>
      </c>
      <c r="J6" s="420" t="s">
        <v>318</v>
      </c>
      <c r="K6" s="423" t="s">
        <v>319</v>
      </c>
      <c r="M6" s="797"/>
      <c r="N6" s="800"/>
      <c r="O6" s="424" t="s">
        <v>320</v>
      </c>
      <c r="P6" s="424" t="s">
        <v>320</v>
      </c>
      <c r="Q6" s="424" t="s">
        <v>320</v>
      </c>
      <c r="R6" s="424" t="s">
        <v>320</v>
      </c>
      <c r="S6" s="424" t="s">
        <v>320</v>
      </c>
      <c r="T6" s="425" t="s">
        <v>320</v>
      </c>
    </row>
    <row r="7" spans="2:20" x14ac:dyDescent="0.25">
      <c r="B7" s="378">
        <v>2012</v>
      </c>
      <c r="C7" s="426">
        <v>40909</v>
      </c>
      <c r="D7" s="427">
        <v>1005</v>
      </c>
      <c r="E7" s="428">
        <f t="shared" ref="E7:G17" si="0">D7</f>
        <v>1005</v>
      </c>
      <c r="F7" s="428">
        <f t="shared" si="0"/>
        <v>1005</v>
      </c>
      <c r="G7" s="428">
        <f t="shared" si="0"/>
        <v>1005</v>
      </c>
      <c r="H7" s="429"/>
      <c r="I7" s="430"/>
      <c r="J7" s="430"/>
      <c r="K7" s="431"/>
      <c r="L7" s="381"/>
      <c r="M7" s="389">
        <v>2012</v>
      </c>
      <c r="N7" s="394">
        <v>41000</v>
      </c>
      <c r="O7" s="432">
        <v>7451.1</v>
      </c>
      <c r="P7" s="432">
        <v>8142.01</v>
      </c>
      <c r="Q7" s="432"/>
      <c r="R7" s="432">
        <v>8069.53</v>
      </c>
      <c r="S7" s="432">
        <v>6412.27</v>
      </c>
      <c r="T7" s="433"/>
    </row>
    <row r="8" spans="2:20" x14ac:dyDescent="0.25">
      <c r="B8" s="386">
        <v>2012</v>
      </c>
      <c r="C8" s="434">
        <v>41091</v>
      </c>
      <c r="D8" s="435">
        <v>1025.0999999999999</v>
      </c>
      <c r="E8" s="436">
        <f t="shared" si="0"/>
        <v>1025.0999999999999</v>
      </c>
      <c r="F8" s="436">
        <f t="shared" si="0"/>
        <v>1025.0999999999999</v>
      </c>
      <c r="G8" s="436">
        <f t="shared" si="0"/>
        <v>1025.0999999999999</v>
      </c>
      <c r="H8" s="437">
        <f t="shared" ref="H8:K17" si="1">D8/D7-1</f>
        <v>2.0000000000000018E-2</v>
      </c>
      <c r="I8" s="438">
        <f t="shared" si="1"/>
        <v>2.0000000000000018E-2</v>
      </c>
      <c r="J8" s="438">
        <f t="shared" si="1"/>
        <v>2.0000000000000018E-2</v>
      </c>
      <c r="K8" s="439">
        <f t="shared" si="1"/>
        <v>2.0000000000000018E-2</v>
      </c>
      <c r="L8" s="381"/>
      <c r="M8" s="389"/>
      <c r="N8" s="394"/>
      <c r="O8" s="440"/>
      <c r="P8" s="440"/>
      <c r="Q8" s="440"/>
      <c r="R8" s="440"/>
      <c r="S8" s="440"/>
      <c r="T8" s="441"/>
    </row>
    <row r="9" spans="2:20" x14ac:dyDescent="0.25">
      <c r="B9" s="386">
        <v>2013</v>
      </c>
      <c r="C9" s="434">
        <v>41275</v>
      </c>
      <c r="D9" s="435">
        <v>1028.17</v>
      </c>
      <c r="E9" s="436">
        <f t="shared" si="0"/>
        <v>1028.17</v>
      </c>
      <c r="F9" s="436">
        <f t="shared" si="0"/>
        <v>1028.17</v>
      </c>
      <c r="G9" s="436">
        <f t="shared" si="0"/>
        <v>1028.17</v>
      </c>
      <c r="H9" s="437">
        <f t="shared" si="1"/>
        <v>2.9948297727051543E-3</v>
      </c>
      <c r="I9" s="438">
        <f t="shared" si="1"/>
        <v>2.9948297727051543E-3</v>
      </c>
      <c r="J9" s="438">
        <f t="shared" si="1"/>
        <v>2.9948297727051543E-3</v>
      </c>
      <c r="K9" s="439">
        <f t="shared" si="1"/>
        <v>2.9948297727051543E-3</v>
      </c>
      <c r="L9" s="381"/>
      <c r="M9" s="389">
        <v>2013</v>
      </c>
      <c r="N9" s="394">
        <v>41365</v>
      </c>
      <c r="O9" s="440">
        <v>7547.96</v>
      </c>
      <c r="P9" s="440">
        <v>8247.85</v>
      </c>
      <c r="Q9" s="440"/>
      <c r="R9" s="440">
        <v>8174.43</v>
      </c>
      <c r="S9" s="440">
        <v>6495.62</v>
      </c>
      <c r="T9" s="441"/>
    </row>
    <row r="10" spans="2:20" x14ac:dyDescent="0.25">
      <c r="B10" s="386">
        <v>2014</v>
      </c>
      <c r="C10" s="434">
        <v>41640</v>
      </c>
      <c r="D10" s="435">
        <v>1039.47</v>
      </c>
      <c r="E10" s="436">
        <f t="shared" si="0"/>
        <v>1039.47</v>
      </c>
      <c r="F10" s="436">
        <f t="shared" si="0"/>
        <v>1039.47</v>
      </c>
      <c r="G10" s="436">
        <f t="shared" si="0"/>
        <v>1039.47</v>
      </c>
      <c r="H10" s="437">
        <f t="shared" si="1"/>
        <v>1.099040042016397E-2</v>
      </c>
      <c r="I10" s="438">
        <f t="shared" si="1"/>
        <v>1.099040042016397E-2</v>
      </c>
      <c r="J10" s="438">
        <f t="shared" si="1"/>
        <v>1.099040042016397E-2</v>
      </c>
      <c r="K10" s="439">
        <f t="shared" si="1"/>
        <v>1.099040042016397E-2</v>
      </c>
      <c r="L10" s="381"/>
      <c r="M10" s="389"/>
      <c r="N10" s="394"/>
      <c r="O10" s="440"/>
      <c r="P10" s="440"/>
      <c r="Q10" s="440"/>
      <c r="R10" s="440"/>
      <c r="S10" s="440"/>
      <c r="T10" s="441"/>
    </row>
    <row r="11" spans="2:20" x14ac:dyDescent="0.25">
      <c r="B11" s="386">
        <v>2014</v>
      </c>
      <c r="C11" s="434">
        <v>41671</v>
      </c>
      <c r="D11" s="435">
        <v>1120</v>
      </c>
      <c r="E11" s="436">
        <f t="shared" si="0"/>
        <v>1120</v>
      </c>
      <c r="F11" s="436">
        <f t="shared" si="0"/>
        <v>1120</v>
      </c>
      <c r="G11" s="436">
        <f t="shared" si="0"/>
        <v>1120</v>
      </c>
      <c r="H11" s="437">
        <f t="shared" si="1"/>
        <v>7.7472173319095283E-2</v>
      </c>
      <c r="I11" s="438">
        <f t="shared" si="1"/>
        <v>7.7472173319095283E-2</v>
      </c>
      <c r="J11" s="438">
        <f t="shared" si="1"/>
        <v>7.7472173319095283E-2</v>
      </c>
      <c r="K11" s="439">
        <f t="shared" si="1"/>
        <v>7.7472173319095283E-2</v>
      </c>
      <c r="L11" s="381"/>
      <c r="M11" s="389"/>
      <c r="N11" s="394"/>
      <c r="O11" s="440"/>
      <c r="P11" s="442"/>
      <c r="Q11" s="440"/>
      <c r="R11" s="440"/>
      <c r="S11" s="440"/>
      <c r="T11" s="441"/>
    </row>
    <row r="12" spans="2:20" x14ac:dyDescent="0.25">
      <c r="B12" s="386">
        <v>2015</v>
      </c>
      <c r="C12" s="443">
        <v>42005</v>
      </c>
      <c r="D12" s="435">
        <v>1128.96</v>
      </c>
      <c r="E12" s="436">
        <f t="shared" si="0"/>
        <v>1128.96</v>
      </c>
      <c r="F12" s="436">
        <f t="shared" si="0"/>
        <v>1128.96</v>
      </c>
      <c r="G12" s="436">
        <f t="shared" si="0"/>
        <v>1128.96</v>
      </c>
      <c r="H12" s="437">
        <f t="shared" si="1"/>
        <v>8.0000000000000071E-3</v>
      </c>
      <c r="I12" s="438">
        <f t="shared" si="1"/>
        <v>8.0000000000000071E-3</v>
      </c>
      <c r="J12" s="438">
        <f t="shared" si="1"/>
        <v>8.0000000000000071E-3</v>
      </c>
      <c r="K12" s="439">
        <f t="shared" si="1"/>
        <v>8.0000000000000071E-3</v>
      </c>
      <c r="L12" s="381"/>
      <c r="M12" s="389">
        <v>2015</v>
      </c>
      <c r="N12" s="394">
        <v>42278</v>
      </c>
      <c r="O12" s="440">
        <v>7555.5</v>
      </c>
      <c r="P12" s="440">
        <v>8256.09</v>
      </c>
      <c r="Q12" s="440">
        <v>13896.68</v>
      </c>
      <c r="R12" s="440">
        <v>8182.6</v>
      </c>
      <c r="S12" s="440">
        <v>6502.11</v>
      </c>
      <c r="T12" s="441"/>
    </row>
    <row r="13" spans="2:20" x14ac:dyDescent="0.25">
      <c r="B13" s="386">
        <v>2016</v>
      </c>
      <c r="C13" s="443">
        <v>42370</v>
      </c>
      <c r="D13" s="435">
        <v>1135.73</v>
      </c>
      <c r="E13" s="436">
        <f t="shared" si="0"/>
        <v>1135.73</v>
      </c>
      <c r="F13" s="436">
        <f t="shared" si="0"/>
        <v>1135.73</v>
      </c>
      <c r="G13" s="436">
        <f t="shared" si="0"/>
        <v>1135.73</v>
      </c>
      <c r="H13" s="437">
        <f t="shared" si="1"/>
        <v>5.9966695011337556E-3</v>
      </c>
      <c r="I13" s="438">
        <f t="shared" si="1"/>
        <v>5.9966695011337556E-3</v>
      </c>
      <c r="J13" s="438">
        <f t="shared" si="1"/>
        <v>5.9966695011337556E-3</v>
      </c>
      <c r="K13" s="439">
        <f t="shared" si="1"/>
        <v>5.9966695011337556E-3</v>
      </c>
      <c r="M13" s="389"/>
      <c r="N13" s="394"/>
      <c r="O13" s="440"/>
      <c r="P13" s="442"/>
      <c r="Q13" s="440"/>
      <c r="R13" s="440"/>
      <c r="S13" s="440"/>
      <c r="T13" s="444"/>
    </row>
    <row r="14" spans="2:20" x14ac:dyDescent="0.25">
      <c r="B14" s="386">
        <v>2017</v>
      </c>
      <c r="C14" s="443">
        <v>42736</v>
      </c>
      <c r="D14" s="435">
        <v>1145.95</v>
      </c>
      <c r="E14" s="436">
        <f t="shared" si="0"/>
        <v>1145.95</v>
      </c>
      <c r="F14" s="436">
        <f t="shared" si="0"/>
        <v>1145.95</v>
      </c>
      <c r="G14" s="436">
        <f t="shared" si="0"/>
        <v>1145.95</v>
      </c>
      <c r="H14" s="437">
        <f t="shared" si="1"/>
        <v>8.9986176291900755E-3</v>
      </c>
      <c r="I14" s="438">
        <f t="shared" si="1"/>
        <v>8.9986176291900755E-3</v>
      </c>
      <c r="J14" s="438">
        <f t="shared" si="1"/>
        <v>8.9986176291900755E-3</v>
      </c>
      <c r="K14" s="439">
        <f t="shared" si="1"/>
        <v>8.9986176291900755E-3</v>
      </c>
      <c r="L14" s="445"/>
      <c r="M14" s="389">
        <v>2017</v>
      </c>
      <c r="N14" s="394">
        <f>DATE(M14,10,1)</f>
        <v>43009</v>
      </c>
      <c r="O14" s="440">
        <v>7615.94</v>
      </c>
      <c r="P14" s="440">
        <v>8322.1299999999992</v>
      </c>
      <c r="Q14" s="440">
        <f>Q12*(1+$T14)</f>
        <v>14004.720272108845</v>
      </c>
      <c r="R14" s="440">
        <f>R12*(1+$T14)</f>
        <v>8246.215937803694</v>
      </c>
      <c r="S14" s="440">
        <f>S12*(1+$T14)</f>
        <v>6552.6609037900871</v>
      </c>
      <c r="T14" s="444">
        <f>Revalo_RB!D77</f>
        <v>7.7745383867833251E-3</v>
      </c>
    </row>
    <row r="15" spans="2:20" x14ac:dyDescent="0.25">
      <c r="B15" s="386">
        <v>2018</v>
      </c>
      <c r="C15" s="443">
        <v>43101</v>
      </c>
      <c r="D15" s="435">
        <v>1160.04</v>
      </c>
      <c r="E15" s="436">
        <f t="shared" si="0"/>
        <v>1160.04</v>
      </c>
      <c r="F15" s="436">
        <f t="shared" si="0"/>
        <v>1160.04</v>
      </c>
      <c r="G15" s="436">
        <f t="shared" si="0"/>
        <v>1160.04</v>
      </c>
      <c r="H15" s="437">
        <f t="shared" si="1"/>
        <v>1.2295475369780373E-2</v>
      </c>
      <c r="I15" s="438">
        <f t="shared" si="1"/>
        <v>1.2295475369780373E-2</v>
      </c>
      <c r="J15" s="438">
        <f t="shared" si="1"/>
        <v>1.2295475369780373E-2</v>
      </c>
      <c r="K15" s="439">
        <f t="shared" si="1"/>
        <v>1.2295475369780373E-2</v>
      </c>
      <c r="L15" s="445"/>
      <c r="M15" s="389">
        <v>2018</v>
      </c>
      <c r="N15" s="407"/>
      <c r="O15" s="446"/>
      <c r="P15" s="446"/>
      <c r="Q15" s="446"/>
      <c r="R15" s="446"/>
      <c r="S15" s="446"/>
      <c r="T15" s="447"/>
    </row>
    <row r="16" spans="2:20" x14ac:dyDescent="0.25">
      <c r="B16" s="386">
        <v>2019</v>
      </c>
      <c r="C16" s="443">
        <v>43466</v>
      </c>
      <c r="D16" s="435">
        <v>1177.44</v>
      </c>
      <c r="E16" s="436">
        <f t="shared" si="0"/>
        <v>1177.44</v>
      </c>
      <c r="F16" s="436">
        <f t="shared" si="0"/>
        <v>1177.44</v>
      </c>
      <c r="G16" s="436">
        <f t="shared" si="0"/>
        <v>1177.44</v>
      </c>
      <c r="H16" s="437">
        <f t="shared" si="1"/>
        <v>1.499948277645613E-2</v>
      </c>
      <c r="I16" s="438">
        <f t="shared" si="1"/>
        <v>1.499948277645613E-2</v>
      </c>
      <c r="J16" s="438">
        <f t="shared" si="1"/>
        <v>1.499948277645613E-2</v>
      </c>
      <c r="K16" s="439">
        <f t="shared" si="1"/>
        <v>1.499948277645613E-2</v>
      </c>
      <c r="L16" s="445"/>
      <c r="M16" s="389">
        <v>2019</v>
      </c>
      <c r="N16" s="394">
        <f>DATE(M16,1,1)</f>
        <v>43466</v>
      </c>
      <c r="O16" s="440">
        <v>7638.78</v>
      </c>
      <c r="P16" s="440">
        <v>8347.09</v>
      </c>
      <c r="Q16" s="440">
        <f>Q14*(1+$T16)</f>
        <v>14144.767474829934</v>
      </c>
      <c r="R16" s="446">
        <f>R14*(1+$T16)</f>
        <v>8328.6780971817316</v>
      </c>
      <c r="S16" s="446">
        <f>S14*(1+$T16)</f>
        <v>6618.187512827988</v>
      </c>
      <c r="T16" s="448">
        <f>Revalo_RB!D79</f>
        <v>0.01</v>
      </c>
    </row>
    <row r="17" spans="2:20" x14ac:dyDescent="0.25">
      <c r="B17" s="386">
        <v>2020</v>
      </c>
      <c r="C17" s="443">
        <v>43831</v>
      </c>
      <c r="D17" s="435">
        <v>1191.56</v>
      </c>
      <c r="E17" s="436">
        <f t="shared" si="0"/>
        <v>1191.56</v>
      </c>
      <c r="F17" s="436">
        <f t="shared" si="0"/>
        <v>1191.56</v>
      </c>
      <c r="G17" s="436">
        <f t="shared" si="0"/>
        <v>1191.56</v>
      </c>
      <c r="H17" s="437">
        <f t="shared" si="1"/>
        <v>1.1992118494360549E-2</v>
      </c>
      <c r="I17" s="438">
        <f t="shared" si="1"/>
        <v>1.1992118494360549E-2</v>
      </c>
      <c r="J17" s="438">
        <f t="shared" si="1"/>
        <v>1.1992118494360549E-2</v>
      </c>
      <c r="K17" s="439">
        <f t="shared" si="1"/>
        <v>1.1992118494360549E-2</v>
      </c>
      <c r="L17" s="445"/>
      <c r="M17" s="389">
        <v>2020</v>
      </c>
      <c r="N17" s="394">
        <f t="shared" ref="N17:N67" si="2">DATE(M17,1,1)</f>
        <v>43831</v>
      </c>
      <c r="O17" s="440">
        <v>7715.16</v>
      </c>
      <c r="P17" s="440">
        <v>8430.56</v>
      </c>
      <c r="Q17" s="440">
        <v>14092.03</v>
      </c>
      <c r="R17" s="446">
        <f t="shared" ref="R17:S32" si="3">R16*(1+$T17)</f>
        <v>8361.8397967988894</v>
      </c>
      <c r="S17" s="446">
        <f t="shared" si="3"/>
        <v>6644.5386748911124</v>
      </c>
      <c r="T17" s="449">
        <f>Revalo_RB!D80</f>
        <v>3.9816282044060625E-3</v>
      </c>
    </row>
    <row r="18" spans="2:20" x14ac:dyDescent="0.25">
      <c r="B18" s="398">
        <v>2021</v>
      </c>
      <c r="C18" s="450">
        <f t="shared" ref="C18:C67" si="4">DATE(B18,1,1)</f>
        <v>44197</v>
      </c>
      <c r="D18" s="451">
        <f t="shared" ref="D18:G33" si="5">D17*(1+H18)</f>
        <v>1203.2995073891625</v>
      </c>
      <c r="E18" s="452">
        <f t="shared" si="5"/>
        <v>1203.4756</v>
      </c>
      <c r="F18" s="452">
        <f t="shared" si="5"/>
        <v>1203.4756</v>
      </c>
      <c r="G18" s="452">
        <f t="shared" si="5"/>
        <v>1203.4756</v>
      </c>
      <c r="H18" s="453">
        <v>9.8522167487684609E-3</v>
      </c>
      <c r="I18" s="454">
        <v>1.0000000000000009E-2</v>
      </c>
      <c r="J18" s="454">
        <v>1.0000000000000009E-2</v>
      </c>
      <c r="K18" s="455">
        <v>1.0000000000000009E-2</v>
      </c>
      <c r="L18" s="445"/>
      <c r="M18" s="406">
        <v>2021</v>
      </c>
      <c r="N18" s="394">
        <f t="shared" si="2"/>
        <v>44197</v>
      </c>
      <c r="O18" s="440">
        <v>7746.02</v>
      </c>
      <c r="P18" s="440">
        <v>8464.2800000000007</v>
      </c>
      <c r="Q18" s="440">
        <v>14247.12</v>
      </c>
      <c r="R18" s="446">
        <f t="shared" si="3"/>
        <v>8424.3136587515673</v>
      </c>
      <c r="S18" s="446">
        <f t="shared" si="3"/>
        <v>6694.182055056478</v>
      </c>
      <c r="T18" s="449">
        <f>Revalo_RB!D81</f>
        <v>7.4713057737119115E-3</v>
      </c>
    </row>
    <row r="19" spans="2:20" x14ac:dyDescent="0.25">
      <c r="B19" s="398">
        <v>2022</v>
      </c>
      <c r="C19" s="450">
        <f t="shared" si="4"/>
        <v>44562</v>
      </c>
      <c r="D19" s="451">
        <f t="shared" si="5"/>
        <v>1219.1640225519025</v>
      </c>
      <c r="E19" s="452">
        <f t="shared" si="5"/>
        <v>1219.1207828000001</v>
      </c>
      <c r="F19" s="452">
        <f t="shared" si="5"/>
        <v>1219.1207828000001</v>
      </c>
      <c r="G19" s="452">
        <f t="shared" si="5"/>
        <v>1219.1207828000001</v>
      </c>
      <c r="H19" s="453">
        <v>1.3184178224390442E-2</v>
      </c>
      <c r="I19" s="454">
        <v>1.3000000000000123E-2</v>
      </c>
      <c r="J19" s="454">
        <v>1.3000000000000123E-2</v>
      </c>
      <c r="K19" s="455">
        <v>1.3000000000000123E-2</v>
      </c>
      <c r="L19" s="445"/>
      <c r="M19" s="406">
        <v>2022</v>
      </c>
      <c r="N19" s="407">
        <f t="shared" si="2"/>
        <v>44562</v>
      </c>
      <c r="O19" s="446">
        <f t="shared" ref="O19:S34" si="6">O18*(1+$T19)</f>
        <v>7813.8188274589565</v>
      </c>
      <c r="P19" s="446">
        <f t="shared" si="6"/>
        <v>8538.3655638488272</v>
      </c>
      <c r="Q19" s="446">
        <f t="shared" si="6"/>
        <v>14371.821205350238</v>
      </c>
      <c r="R19" s="446">
        <f t="shared" si="3"/>
        <v>8498.0494079763084</v>
      </c>
      <c r="S19" s="446">
        <f t="shared" si="3"/>
        <v>6752.7744281886944</v>
      </c>
      <c r="T19" s="449">
        <f>Revalo_RB!D82</f>
        <v>8.7527307519159603E-3</v>
      </c>
    </row>
    <row r="20" spans="2:20" x14ac:dyDescent="0.25">
      <c r="B20" s="398">
        <v>2023</v>
      </c>
      <c r="C20" s="450">
        <f t="shared" si="4"/>
        <v>44927</v>
      </c>
      <c r="D20" s="451">
        <f t="shared" si="5"/>
        <v>1235.013154845077</v>
      </c>
      <c r="E20" s="452">
        <f t="shared" si="5"/>
        <v>1234.9693529763999</v>
      </c>
      <c r="F20" s="452">
        <f t="shared" si="5"/>
        <v>1234.9693529763999</v>
      </c>
      <c r="G20" s="452">
        <f t="shared" si="5"/>
        <v>1234.9693529763999</v>
      </c>
      <c r="H20" s="453">
        <v>1.2999999999999901E-2</v>
      </c>
      <c r="I20" s="454">
        <v>1.2999999999999901E-2</v>
      </c>
      <c r="J20" s="454">
        <v>1.2999999999999901E-2</v>
      </c>
      <c r="K20" s="455">
        <v>1.2999999999999901E-2</v>
      </c>
      <c r="L20" s="445"/>
      <c r="M20" s="406">
        <v>2023</v>
      </c>
      <c r="N20" s="407">
        <f t="shared" si="2"/>
        <v>44927</v>
      </c>
      <c r="O20" s="446">
        <f t="shared" si="6"/>
        <v>7902.151607808667</v>
      </c>
      <c r="P20" s="446">
        <f t="shared" si="6"/>
        <v>8634.8891186625824</v>
      </c>
      <c r="Q20" s="446">
        <f t="shared" si="6"/>
        <v>14534.290153477918</v>
      </c>
      <c r="R20" s="446">
        <f t="shared" si="3"/>
        <v>8594.1172012450552</v>
      </c>
      <c r="S20" s="446">
        <f t="shared" si="3"/>
        <v>6829.1124331370784</v>
      </c>
      <c r="T20" s="449">
        <f>Revalo_RB!D83</f>
        <v>1.1304687541422952E-2</v>
      </c>
    </row>
    <row r="21" spans="2:20" x14ac:dyDescent="0.25">
      <c r="B21" s="398">
        <v>2024</v>
      </c>
      <c r="C21" s="450">
        <f t="shared" si="4"/>
        <v>45292</v>
      </c>
      <c r="D21" s="451">
        <f t="shared" si="5"/>
        <v>1253.5383521677527</v>
      </c>
      <c r="E21" s="452">
        <f t="shared" si="5"/>
        <v>1253.4938932710456</v>
      </c>
      <c r="F21" s="452">
        <f t="shared" si="5"/>
        <v>1253.4938932710456</v>
      </c>
      <c r="G21" s="452">
        <f t="shared" si="5"/>
        <v>1253.4938932710456</v>
      </c>
      <c r="H21" s="453">
        <v>1.499999999999968E-2</v>
      </c>
      <c r="I21" s="454">
        <v>1.499999999999968E-2</v>
      </c>
      <c r="J21" s="454">
        <v>1.499999999999968E-2</v>
      </c>
      <c r="K21" s="455">
        <v>1.499999999999968E-2</v>
      </c>
      <c r="L21" s="445"/>
      <c r="M21" s="406">
        <v>2024</v>
      </c>
      <c r="N21" s="407">
        <f t="shared" si="2"/>
        <v>45292</v>
      </c>
      <c r="O21" s="446">
        <f t="shared" si="6"/>
        <v>8016.7328061218923</v>
      </c>
      <c r="P21" s="446">
        <f t="shared" si="6"/>
        <v>8760.0950108831894</v>
      </c>
      <c r="Q21" s="446">
        <f t="shared" si="6"/>
        <v>14745.037360703347</v>
      </c>
      <c r="R21" s="446">
        <f t="shared" si="3"/>
        <v>8718.7319006631078</v>
      </c>
      <c r="S21" s="446">
        <f t="shared" si="3"/>
        <v>6928.1345634175659</v>
      </c>
      <c r="T21" s="449">
        <f>Revalo_RB!D84</f>
        <v>1.4499999999999999E-2</v>
      </c>
    </row>
    <row r="22" spans="2:20" x14ac:dyDescent="0.25">
      <c r="B22" s="398">
        <v>2025</v>
      </c>
      <c r="C22" s="450">
        <f t="shared" si="4"/>
        <v>45658</v>
      </c>
      <c r="D22" s="451">
        <f t="shared" si="5"/>
        <v>1277.3555808589399</v>
      </c>
      <c r="E22" s="452">
        <f t="shared" si="5"/>
        <v>1277.3102772431953</v>
      </c>
      <c r="F22" s="452">
        <f t="shared" si="5"/>
        <v>1277.3102772431953</v>
      </c>
      <c r="G22" s="452">
        <f t="shared" si="5"/>
        <v>1277.3102772431953</v>
      </c>
      <c r="H22" s="453">
        <v>1.8999999999999906E-2</v>
      </c>
      <c r="I22" s="454">
        <v>1.8999999999999906E-2</v>
      </c>
      <c r="J22" s="454">
        <v>1.8999999999999906E-2</v>
      </c>
      <c r="K22" s="455">
        <v>1.8999999999999906E-2</v>
      </c>
      <c r="L22" s="445"/>
      <c r="M22" s="406">
        <v>2025</v>
      </c>
      <c r="N22" s="407">
        <f t="shared" si="2"/>
        <v>45658</v>
      </c>
      <c r="O22" s="446">
        <f t="shared" si="6"/>
        <v>8157.0256302290263</v>
      </c>
      <c r="P22" s="446">
        <f t="shared" si="6"/>
        <v>8913.3966735736467</v>
      </c>
      <c r="Q22" s="446">
        <f t="shared" si="6"/>
        <v>15003.075514515656</v>
      </c>
      <c r="R22" s="446">
        <f t="shared" si="3"/>
        <v>8871.309708924713</v>
      </c>
      <c r="S22" s="446">
        <f t="shared" si="3"/>
        <v>7049.376918277374</v>
      </c>
      <c r="T22" s="447">
        <f>Revalo_RB!D85</f>
        <v>1.7500000000000002E-2</v>
      </c>
    </row>
    <row r="23" spans="2:20" x14ac:dyDescent="0.25">
      <c r="B23" s="398">
        <v>2026</v>
      </c>
      <c r="C23" s="450">
        <f t="shared" si="4"/>
        <v>46023</v>
      </c>
      <c r="D23" s="451">
        <f t="shared" si="5"/>
        <v>1303.7732103044741</v>
      </c>
      <c r="E23" s="452">
        <f t="shared" si="5"/>
        <v>1303.3370707798717</v>
      </c>
      <c r="F23" s="452">
        <f t="shared" si="5"/>
        <v>1303.0771381384527</v>
      </c>
      <c r="G23" s="452">
        <f t="shared" si="5"/>
        <v>1302.6872391763241</v>
      </c>
      <c r="H23" s="453">
        <v>2.0681500000000019E-2</v>
      </c>
      <c r="I23" s="454">
        <v>2.0376249999999763E-2</v>
      </c>
      <c r="J23" s="454">
        <v>2.017274999999974E-2</v>
      </c>
      <c r="K23" s="455">
        <v>1.9867499999999705E-2</v>
      </c>
      <c r="L23" s="445"/>
      <c r="M23" s="406">
        <v>2026</v>
      </c>
      <c r="N23" s="407">
        <f t="shared" si="2"/>
        <v>46023</v>
      </c>
      <c r="O23" s="446">
        <f t="shared" si="6"/>
        <v>8299.773578758035</v>
      </c>
      <c r="P23" s="446">
        <f t="shared" si="6"/>
        <v>9069.3811153611859</v>
      </c>
      <c r="Q23" s="446">
        <f t="shared" si="6"/>
        <v>15265.629336019681</v>
      </c>
      <c r="R23" s="446">
        <f t="shared" si="3"/>
        <v>9026.5576288308966</v>
      </c>
      <c r="S23" s="446">
        <f t="shared" si="3"/>
        <v>7172.7410143472289</v>
      </c>
      <c r="T23" s="447">
        <f>Revalo_RB!D86</f>
        <v>1.7500000000000002E-2</v>
      </c>
    </row>
    <row r="24" spans="2:20" x14ac:dyDescent="0.25">
      <c r="B24" s="398">
        <v>2027</v>
      </c>
      <c r="C24" s="450">
        <f t="shared" si="4"/>
        <v>46388</v>
      </c>
      <c r="D24" s="451">
        <f t="shared" si="5"/>
        <v>1332.9294906065127</v>
      </c>
      <c r="E24" s="452">
        <f t="shared" si="5"/>
        <v>1331.687910412011</v>
      </c>
      <c r="F24" s="452">
        <f t="shared" si="5"/>
        <v>1330.8919711905867</v>
      </c>
      <c r="G24" s="452">
        <f t="shared" si="5"/>
        <v>1329.6984590806453</v>
      </c>
      <c r="H24" s="453">
        <v>2.2362999999999689E-2</v>
      </c>
      <c r="I24" s="454">
        <v>2.1752500000000063E-2</v>
      </c>
      <c r="J24" s="454">
        <v>2.1345499999999795E-2</v>
      </c>
      <c r="K24" s="455">
        <v>2.073500000000017E-2</v>
      </c>
      <c r="L24" s="445"/>
      <c r="M24" s="406">
        <v>2027</v>
      </c>
      <c r="N24" s="407">
        <f t="shared" si="2"/>
        <v>46388</v>
      </c>
      <c r="O24" s="446">
        <f t="shared" si="6"/>
        <v>8445.019616386302</v>
      </c>
      <c r="P24" s="446">
        <f t="shared" si="6"/>
        <v>9228.095284880008</v>
      </c>
      <c r="Q24" s="446">
        <f t="shared" si="6"/>
        <v>15532.777849400027</v>
      </c>
      <c r="R24" s="446">
        <f t="shared" si="3"/>
        <v>9184.5223873354371</v>
      </c>
      <c r="S24" s="446">
        <f t="shared" si="3"/>
        <v>7298.2639820983059</v>
      </c>
      <c r="T24" s="447">
        <f>Revalo_RB!D87</f>
        <v>1.7500000000000002E-2</v>
      </c>
    </row>
    <row r="25" spans="2:20" x14ac:dyDescent="0.25">
      <c r="B25" s="398">
        <v>2028</v>
      </c>
      <c r="C25" s="450">
        <f t="shared" si="4"/>
        <v>46753</v>
      </c>
      <c r="D25" s="451">
        <f t="shared" si="5"/>
        <v>1364.9791137434011</v>
      </c>
      <c r="E25" s="452">
        <f t="shared" si="5"/>
        <v>1362.4881871699527</v>
      </c>
      <c r="F25" s="452">
        <f t="shared" si="5"/>
        <v>1360.8613293208491</v>
      </c>
      <c r="G25" s="452">
        <f t="shared" si="5"/>
        <v>1358.423270042935</v>
      </c>
      <c r="H25" s="453">
        <v>2.4044500000000024E-2</v>
      </c>
      <c r="I25" s="454">
        <v>2.312874999999992E-2</v>
      </c>
      <c r="J25" s="454">
        <v>2.2518250000000073E-2</v>
      </c>
      <c r="K25" s="455">
        <v>2.1602499999999969E-2</v>
      </c>
      <c r="L25" s="445"/>
      <c r="M25" s="406">
        <v>2028</v>
      </c>
      <c r="N25" s="407">
        <f t="shared" si="2"/>
        <v>46753</v>
      </c>
      <c r="O25" s="446">
        <f t="shared" si="6"/>
        <v>8592.8074596730621</v>
      </c>
      <c r="P25" s="446">
        <f t="shared" si="6"/>
        <v>9389.5869523654092</v>
      </c>
      <c r="Q25" s="446">
        <f t="shared" si="6"/>
        <v>15804.601461764529</v>
      </c>
      <c r="R25" s="446">
        <f t="shared" si="3"/>
        <v>9345.2515291138079</v>
      </c>
      <c r="S25" s="446">
        <f t="shared" si="3"/>
        <v>7425.9836017850266</v>
      </c>
      <c r="T25" s="447">
        <f>Revalo_RB!D88</f>
        <v>1.7500000000000002E-2</v>
      </c>
    </row>
    <row r="26" spans="2:20" x14ac:dyDescent="0.25">
      <c r="B26" s="398">
        <v>2029</v>
      </c>
      <c r="C26" s="450">
        <f t="shared" si="4"/>
        <v>47119</v>
      </c>
      <c r="D26" s="451">
        <f t="shared" si="5"/>
        <v>1400.0945664235637</v>
      </c>
      <c r="E26" s="452">
        <f t="shared" si="5"/>
        <v>1395.8759601965523</v>
      </c>
      <c r="F26" s="452">
        <f t="shared" si="5"/>
        <v>1393.1014950737892</v>
      </c>
      <c r="G26" s="452">
        <f t="shared" si="5"/>
        <v>1388.9470409207997</v>
      </c>
      <c r="H26" s="453">
        <v>2.5725999999999916E-2</v>
      </c>
      <c r="I26" s="454">
        <v>2.4504999999999999E-2</v>
      </c>
      <c r="J26" s="454">
        <v>2.3690999999999907E-2</v>
      </c>
      <c r="K26" s="455">
        <v>2.246999999999999E-2</v>
      </c>
      <c r="L26" s="445"/>
      <c r="M26" s="406">
        <v>2029</v>
      </c>
      <c r="N26" s="407">
        <f t="shared" si="2"/>
        <v>47119</v>
      </c>
      <c r="O26" s="446">
        <f t="shared" si="6"/>
        <v>8743.1815902173421</v>
      </c>
      <c r="P26" s="446">
        <f t="shared" si="6"/>
        <v>9553.904724031805</v>
      </c>
      <c r="Q26" s="446">
        <f t="shared" si="6"/>
        <v>16081.18198734541</v>
      </c>
      <c r="R26" s="446">
        <f t="shared" si="3"/>
        <v>9508.7934308733002</v>
      </c>
      <c r="S26" s="446">
        <f t="shared" si="3"/>
        <v>7555.9383148162651</v>
      </c>
      <c r="T26" s="447">
        <f>Revalo_RB!D89</f>
        <v>1.7500000000000002E-2</v>
      </c>
    </row>
    <row r="27" spans="2:20" x14ac:dyDescent="0.25">
      <c r="B27" s="398">
        <v>2030</v>
      </c>
      <c r="C27" s="450">
        <f t="shared" si="4"/>
        <v>47484</v>
      </c>
      <c r="D27" s="451">
        <f t="shared" si="5"/>
        <v>1438.4676582528175</v>
      </c>
      <c r="E27" s="452">
        <f t="shared" si="5"/>
        <v>1432.0029748913894</v>
      </c>
      <c r="F27" s="452">
        <f t="shared" si="5"/>
        <v>1427.7392223719301</v>
      </c>
      <c r="G27" s="452">
        <f t="shared" si="5"/>
        <v>1421.3615924882886</v>
      </c>
      <c r="H27" s="453">
        <v>2.7407500000000029E-2</v>
      </c>
      <c r="I27" s="454">
        <v>2.5881250000000078E-2</v>
      </c>
      <c r="J27" s="454">
        <v>2.4863749999999962E-2</v>
      </c>
      <c r="K27" s="455">
        <v>2.3337499999999789E-2</v>
      </c>
      <c r="L27" s="445"/>
      <c r="M27" s="406">
        <v>2030</v>
      </c>
      <c r="N27" s="407">
        <f t="shared" si="2"/>
        <v>47484</v>
      </c>
      <c r="O27" s="446">
        <f t="shared" si="6"/>
        <v>8896.1872680461456</v>
      </c>
      <c r="P27" s="446">
        <f t="shared" si="6"/>
        <v>9721.0980567023616</v>
      </c>
      <c r="Q27" s="446">
        <f t="shared" si="6"/>
        <v>16362.602672123956</v>
      </c>
      <c r="R27" s="446">
        <f t="shared" si="3"/>
        <v>9675.1973159135832</v>
      </c>
      <c r="S27" s="446">
        <f t="shared" si="3"/>
        <v>7688.1672353255499</v>
      </c>
      <c r="T27" s="447">
        <f>Revalo_RB!D90</f>
        <v>1.7500000000000002E-2</v>
      </c>
    </row>
    <row r="28" spans="2:20" x14ac:dyDescent="0.25">
      <c r="B28" s="398">
        <v>2031</v>
      </c>
      <c r="C28" s="450">
        <f t="shared" si="4"/>
        <v>47849</v>
      </c>
      <c r="D28" s="451">
        <f t="shared" si="5"/>
        <v>1480.3112439637337</v>
      </c>
      <c r="E28" s="452">
        <f t="shared" si="5"/>
        <v>1471.0357959794912</v>
      </c>
      <c r="F28" s="452">
        <f t="shared" si="5"/>
        <v>1464.9125546352172</v>
      </c>
      <c r="G28" s="452">
        <f t="shared" si="5"/>
        <v>1455.7656498344677</v>
      </c>
      <c r="H28" s="453">
        <v>2.908899999999992E-2</v>
      </c>
      <c r="I28" s="454">
        <v>2.7257499999999935E-2</v>
      </c>
      <c r="J28" s="454">
        <v>2.603650000000024E-2</v>
      </c>
      <c r="K28" s="455">
        <v>2.4205000000000032E-2</v>
      </c>
      <c r="L28" s="445"/>
      <c r="M28" s="406">
        <v>2031</v>
      </c>
      <c r="N28" s="407">
        <f t="shared" si="2"/>
        <v>47849</v>
      </c>
      <c r="O28" s="446">
        <f t="shared" si="6"/>
        <v>9051.8705452369541</v>
      </c>
      <c r="P28" s="446">
        <f t="shared" si="6"/>
        <v>9891.2172726946537</v>
      </c>
      <c r="Q28" s="446">
        <f t="shared" si="6"/>
        <v>16648.948218886126</v>
      </c>
      <c r="R28" s="446">
        <f t="shared" si="3"/>
        <v>9844.5132689420716</v>
      </c>
      <c r="S28" s="446">
        <f t="shared" si="3"/>
        <v>7822.7101619437472</v>
      </c>
      <c r="T28" s="447">
        <f>Revalo_RB!D91</f>
        <v>1.7500000000000002E-2</v>
      </c>
    </row>
    <row r="29" spans="2:20" x14ac:dyDescent="0.25">
      <c r="B29" s="398">
        <v>2032</v>
      </c>
      <c r="C29" s="450">
        <f t="shared" si="4"/>
        <v>48214</v>
      </c>
      <c r="D29" s="451">
        <f t="shared" si="5"/>
        <v>1525.8611610961198</v>
      </c>
      <c r="E29" s="452">
        <f t="shared" si="5"/>
        <v>1513.1570672026194</v>
      </c>
      <c r="F29" s="452">
        <f t="shared" si="5"/>
        <v>1504.7717265624256</v>
      </c>
      <c r="G29" s="452">
        <f t="shared" si="5"/>
        <v>1492.2653340899421</v>
      </c>
      <c r="H29" s="453">
        <v>3.0770500000000034E-2</v>
      </c>
      <c r="I29" s="454">
        <v>2.8633750000000235E-2</v>
      </c>
      <c r="J29" s="454">
        <v>2.7209250000000074E-2</v>
      </c>
      <c r="K29" s="455">
        <v>2.5072499999999831E-2</v>
      </c>
      <c r="L29" s="445"/>
      <c r="M29" s="406">
        <v>2032</v>
      </c>
      <c r="N29" s="407">
        <f t="shared" si="2"/>
        <v>48214</v>
      </c>
      <c r="O29" s="446">
        <f t="shared" si="6"/>
        <v>9210.2782797786022</v>
      </c>
      <c r="P29" s="446">
        <f t="shared" si="6"/>
        <v>10064.313574966811</v>
      </c>
      <c r="Q29" s="446">
        <f t="shared" si="6"/>
        <v>16940.304812716633</v>
      </c>
      <c r="R29" s="446">
        <f t="shared" si="3"/>
        <v>10016.792251148559</v>
      </c>
      <c r="S29" s="446">
        <f t="shared" si="3"/>
        <v>7959.6075897777637</v>
      </c>
      <c r="T29" s="447">
        <f>Revalo_RB!D92</f>
        <v>1.7500000000000002E-2</v>
      </c>
    </row>
    <row r="30" spans="2:20" x14ac:dyDescent="0.25">
      <c r="B30" s="398">
        <v>2033</v>
      </c>
      <c r="C30" s="450">
        <f t="shared" si="4"/>
        <v>48580</v>
      </c>
      <c r="D30" s="451">
        <f t="shared" si="5"/>
        <v>1575.3784074960115</v>
      </c>
      <c r="E30" s="452">
        <f t="shared" si="5"/>
        <v>1558.5669107893698</v>
      </c>
      <c r="F30" s="452">
        <f t="shared" si="5"/>
        <v>1547.4801577057206</v>
      </c>
      <c r="G30" s="452">
        <f t="shared" si="5"/>
        <v>1530.9746968562354</v>
      </c>
      <c r="H30" s="453">
        <v>3.2452000000000369E-2</v>
      </c>
      <c r="I30" s="454">
        <v>3.000999999999987E-2</v>
      </c>
      <c r="J30" s="454">
        <v>2.8382000000000129E-2</v>
      </c>
      <c r="K30" s="455">
        <v>2.5940000000000074E-2</v>
      </c>
      <c r="L30" s="445"/>
      <c r="M30" s="406">
        <v>2033</v>
      </c>
      <c r="N30" s="407">
        <f t="shared" si="2"/>
        <v>48580</v>
      </c>
      <c r="O30" s="446">
        <f t="shared" si="6"/>
        <v>9371.4581496747287</v>
      </c>
      <c r="P30" s="446">
        <f t="shared" si="6"/>
        <v>10240.439062528731</v>
      </c>
      <c r="Q30" s="446">
        <f t="shared" si="6"/>
        <v>17236.760146939174</v>
      </c>
      <c r="R30" s="446">
        <f t="shared" si="3"/>
        <v>10192.08611554366</v>
      </c>
      <c r="S30" s="446">
        <f t="shared" si="3"/>
        <v>8098.9007225988753</v>
      </c>
      <c r="T30" s="447">
        <f>Revalo_RB!D93</f>
        <v>1.7500000000000002E-2</v>
      </c>
    </row>
    <row r="31" spans="2:20" x14ac:dyDescent="0.25">
      <c r="B31" s="398">
        <v>2034</v>
      </c>
      <c r="C31" s="450">
        <f t="shared" si="4"/>
        <v>48945</v>
      </c>
      <c r="D31" s="451">
        <f t="shared" si="5"/>
        <v>1629.1515863682766</v>
      </c>
      <c r="E31" s="452">
        <f t="shared" si="5"/>
        <v>1607.484481493133</v>
      </c>
      <c r="F31" s="452">
        <f t="shared" si="5"/>
        <v>1593.2155468966737</v>
      </c>
      <c r="G31" s="452">
        <f t="shared" si="5"/>
        <v>1572.0163010422086</v>
      </c>
      <c r="H31" s="453">
        <v>3.4133500000000039E-2</v>
      </c>
      <c r="I31" s="454">
        <v>3.1386250000000171E-2</v>
      </c>
      <c r="J31" s="454">
        <v>2.9554749999999963E-2</v>
      </c>
      <c r="K31" s="455">
        <v>2.6807499999999873E-2</v>
      </c>
      <c r="L31" s="445"/>
      <c r="M31" s="406">
        <v>2034</v>
      </c>
      <c r="N31" s="407">
        <f t="shared" si="2"/>
        <v>48945</v>
      </c>
      <c r="O31" s="446">
        <f t="shared" si="6"/>
        <v>9535.4586672940368</v>
      </c>
      <c r="P31" s="446">
        <f t="shared" si="6"/>
        <v>10419.646746122984</v>
      </c>
      <c r="Q31" s="446">
        <f t="shared" si="6"/>
        <v>17538.40344951061</v>
      </c>
      <c r="R31" s="446">
        <f t="shared" si="3"/>
        <v>10370.447622565674</v>
      </c>
      <c r="S31" s="446">
        <f t="shared" si="3"/>
        <v>8240.6314852443556</v>
      </c>
      <c r="T31" s="447">
        <f>Revalo_RB!D94</f>
        <v>1.7500000000000002E-2</v>
      </c>
    </row>
    <row r="32" spans="2:20" x14ac:dyDescent="0.25">
      <c r="B32" s="398">
        <v>2035</v>
      </c>
      <c r="C32" s="450">
        <f t="shared" si="4"/>
        <v>49310</v>
      </c>
      <c r="D32" s="451">
        <f t="shared" si="5"/>
        <v>1687.4996504340568</v>
      </c>
      <c r="E32" s="452">
        <f t="shared" si="5"/>
        <v>1660.1496918180515</v>
      </c>
      <c r="F32" s="452">
        <f t="shared" si="5"/>
        <v>1642.1710776139416</v>
      </c>
      <c r="G32" s="452">
        <f t="shared" si="5"/>
        <v>1615.5218521735519</v>
      </c>
      <c r="H32" s="453">
        <v>3.5815000000000152E-2</v>
      </c>
      <c r="I32" s="454">
        <v>3.2762499999999806E-2</v>
      </c>
      <c r="J32" s="454">
        <v>3.0727500000000241E-2</v>
      </c>
      <c r="K32" s="455">
        <v>2.7675000000000116E-2</v>
      </c>
      <c r="L32" s="445"/>
      <c r="M32" s="406">
        <v>2035</v>
      </c>
      <c r="N32" s="407">
        <f t="shared" si="2"/>
        <v>49310</v>
      </c>
      <c r="O32" s="446">
        <f t="shared" si="6"/>
        <v>9702.3291939716837</v>
      </c>
      <c r="P32" s="446">
        <f t="shared" si="6"/>
        <v>10601.990564180138</v>
      </c>
      <c r="Q32" s="446">
        <f t="shared" si="6"/>
        <v>17845.325509877046</v>
      </c>
      <c r="R32" s="446">
        <f t="shared" si="3"/>
        <v>10551.930455960575</v>
      </c>
      <c r="S32" s="446">
        <f t="shared" si="3"/>
        <v>8384.8425362361322</v>
      </c>
      <c r="T32" s="447">
        <f>Revalo_RB!D95</f>
        <v>1.7500000000000002E-2</v>
      </c>
    </row>
    <row r="33" spans="2:20" x14ac:dyDescent="0.25">
      <c r="B33" s="398">
        <v>2036</v>
      </c>
      <c r="C33" s="450">
        <f t="shared" si="4"/>
        <v>49675</v>
      </c>
      <c r="D33" s="451">
        <f t="shared" si="5"/>
        <v>1747.9374504143527</v>
      </c>
      <c r="E33" s="452">
        <f t="shared" si="5"/>
        <v>1714.5403460962405</v>
      </c>
      <c r="F33" s="452">
        <f t="shared" si="5"/>
        <v>1692.6308894013241</v>
      </c>
      <c r="G33" s="452">
        <f t="shared" si="5"/>
        <v>1660.2314194324551</v>
      </c>
      <c r="H33" s="453">
        <v>3.5815000000000152E-2</v>
      </c>
      <c r="I33" s="454">
        <v>3.2762500000000028E-2</v>
      </c>
      <c r="J33" s="454">
        <v>3.0727500000000019E-2</v>
      </c>
      <c r="K33" s="455">
        <v>2.7675000000000116E-2</v>
      </c>
      <c r="L33" s="445"/>
      <c r="M33" s="406">
        <v>2036</v>
      </c>
      <c r="N33" s="407">
        <f t="shared" si="2"/>
        <v>49675</v>
      </c>
      <c r="O33" s="446">
        <f t="shared" si="6"/>
        <v>9872.119954866188</v>
      </c>
      <c r="P33" s="446">
        <f t="shared" si="6"/>
        <v>10787.525399053291</v>
      </c>
      <c r="Q33" s="446">
        <f t="shared" si="6"/>
        <v>18157.618706299894</v>
      </c>
      <c r="R33" s="446">
        <f t="shared" si="6"/>
        <v>10736.589238939887</v>
      </c>
      <c r="S33" s="446">
        <f t="shared" si="6"/>
        <v>8531.5772806202658</v>
      </c>
      <c r="T33" s="447">
        <f>Revalo_RB!D96</f>
        <v>1.7500000000000002E-2</v>
      </c>
    </row>
    <row r="34" spans="2:20" x14ac:dyDescent="0.25">
      <c r="B34" s="398">
        <v>2037</v>
      </c>
      <c r="C34" s="450">
        <f t="shared" si="4"/>
        <v>50041</v>
      </c>
      <c r="D34" s="451">
        <f t="shared" ref="D34:G49" si="7">D33*(1+H34)</f>
        <v>1810.539830200943</v>
      </c>
      <c r="E34" s="452">
        <f t="shared" si="7"/>
        <v>1770.7129741852186</v>
      </c>
      <c r="F34" s="452">
        <f t="shared" si="7"/>
        <v>1744.6412050554034</v>
      </c>
      <c r="G34" s="452">
        <f t="shared" si="7"/>
        <v>1706.1783239652486</v>
      </c>
      <c r="H34" s="453">
        <v>3.5815000000000152E-2</v>
      </c>
      <c r="I34" s="454">
        <v>3.2762500000000028E-2</v>
      </c>
      <c r="J34" s="454">
        <v>3.0727500000000019E-2</v>
      </c>
      <c r="K34" s="455">
        <v>2.7675000000000116E-2</v>
      </c>
      <c r="L34" s="445"/>
      <c r="M34" s="406">
        <v>2037</v>
      </c>
      <c r="N34" s="407">
        <f t="shared" si="2"/>
        <v>50041</v>
      </c>
      <c r="O34" s="446">
        <f t="shared" si="6"/>
        <v>10044.882054076346</v>
      </c>
      <c r="P34" s="446">
        <f t="shared" si="6"/>
        <v>10976.307093536725</v>
      </c>
      <c r="Q34" s="446">
        <f t="shared" si="6"/>
        <v>18475.377033660145</v>
      </c>
      <c r="R34" s="446">
        <f t="shared" si="6"/>
        <v>10924.479550621336</v>
      </c>
      <c r="S34" s="446">
        <f t="shared" si="6"/>
        <v>8680.8798830311207</v>
      </c>
      <c r="T34" s="447">
        <f>Revalo_RB!D97</f>
        <v>1.7500000000000002E-2</v>
      </c>
    </row>
    <row r="35" spans="2:20" x14ac:dyDescent="0.25">
      <c r="B35" s="398">
        <v>2038</v>
      </c>
      <c r="C35" s="450">
        <f t="shared" si="4"/>
        <v>50406</v>
      </c>
      <c r="D35" s="451">
        <f t="shared" si="7"/>
        <v>1875.3843142195901</v>
      </c>
      <c r="E35" s="452">
        <f t="shared" si="7"/>
        <v>1828.725958001962</v>
      </c>
      <c r="F35" s="452">
        <f t="shared" si="7"/>
        <v>1798.2496676837434</v>
      </c>
      <c r="G35" s="452">
        <f t="shared" si="7"/>
        <v>1753.3968090809867</v>
      </c>
      <c r="H35" s="453">
        <v>3.5815000000000152E-2</v>
      </c>
      <c r="I35" s="454">
        <v>3.2762500000000028E-2</v>
      </c>
      <c r="J35" s="454">
        <v>3.0727500000000019E-2</v>
      </c>
      <c r="K35" s="455">
        <v>2.7674999999999894E-2</v>
      </c>
      <c r="L35" s="445"/>
      <c r="M35" s="406">
        <v>2038</v>
      </c>
      <c r="N35" s="407">
        <f t="shared" si="2"/>
        <v>50406</v>
      </c>
      <c r="O35" s="446">
        <f t="shared" ref="O35:S50" si="8">O34*(1+$T35)</f>
        <v>10220.667490022683</v>
      </c>
      <c r="P35" s="446">
        <f t="shared" si="8"/>
        <v>11168.392467673619</v>
      </c>
      <c r="Q35" s="446">
        <f t="shared" si="8"/>
        <v>18798.696131749199</v>
      </c>
      <c r="R35" s="446">
        <f t="shared" si="8"/>
        <v>11115.657942757211</v>
      </c>
      <c r="S35" s="446">
        <f t="shared" si="8"/>
        <v>8832.7952809841663</v>
      </c>
      <c r="T35" s="447">
        <f>Revalo_RB!D98</f>
        <v>1.7500000000000002E-2</v>
      </c>
    </row>
    <row r="36" spans="2:20" x14ac:dyDescent="0.25">
      <c r="B36" s="398">
        <v>2039</v>
      </c>
      <c r="C36" s="450">
        <f t="shared" si="4"/>
        <v>50771</v>
      </c>
      <c r="D36" s="451">
        <f t="shared" si="7"/>
        <v>1942.5512034333647</v>
      </c>
      <c r="E36" s="452">
        <f t="shared" si="7"/>
        <v>1888.6395922010013</v>
      </c>
      <c r="F36" s="452">
        <f t="shared" si="7"/>
        <v>1853.5053843474952</v>
      </c>
      <c r="G36" s="452">
        <f t="shared" si="7"/>
        <v>1801.9220657723033</v>
      </c>
      <c r="H36" s="453">
        <v>3.581499999999993E-2</v>
      </c>
      <c r="I36" s="454">
        <v>3.2762500000000028E-2</v>
      </c>
      <c r="J36" s="454">
        <v>3.0727499999999797E-2</v>
      </c>
      <c r="K36" s="455">
        <v>2.7675000000000116E-2</v>
      </c>
      <c r="L36" s="445"/>
      <c r="M36" s="406">
        <v>2039</v>
      </c>
      <c r="N36" s="407">
        <f t="shared" si="2"/>
        <v>50771</v>
      </c>
      <c r="O36" s="446">
        <f t="shared" si="8"/>
        <v>10399.52917109808</v>
      </c>
      <c r="P36" s="446">
        <f t="shared" si="8"/>
        <v>11363.839335857909</v>
      </c>
      <c r="Q36" s="446">
        <f t="shared" si="8"/>
        <v>19127.673314054809</v>
      </c>
      <c r="R36" s="446">
        <f t="shared" si="8"/>
        <v>11310.181956755463</v>
      </c>
      <c r="S36" s="446">
        <f t="shared" si="8"/>
        <v>8987.3691984013894</v>
      </c>
      <c r="T36" s="447">
        <f>Revalo_RB!D99</f>
        <v>1.7500000000000002E-2</v>
      </c>
    </row>
    <row r="37" spans="2:20" x14ac:dyDescent="0.25">
      <c r="B37" s="398">
        <v>2040</v>
      </c>
      <c r="C37" s="450">
        <f t="shared" si="4"/>
        <v>51136</v>
      </c>
      <c r="D37" s="451">
        <f t="shared" si="7"/>
        <v>2012.1236747843309</v>
      </c>
      <c r="E37" s="452">
        <f t="shared" si="7"/>
        <v>1950.5161468404863</v>
      </c>
      <c r="F37" s="452">
        <f t="shared" si="7"/>
        <v>1910.458971045033</v>
      </c>
      <c r="G37" s="452">
        <f t="shared" si="7"/>
        <v>1851.7902589425521</v>
      </c>
      <c r="H37" s="453">
        <v>3.5815000000000152E-2</v>
      </c>
      <c r="I37" s="454">
        <v>3.2762499999999806E-2</v>
      </c>
      <c r="J37" s="454">
        <v>3.0727500000000019E-2</v>
      </c>
      <c r="K37" s="455">
        <v>2.7675000000000116E-2</v>
      </c>
      <c r="L37" s="445"/>
      <c r="M37" s="406">
        <v>2040</v>
      </c>
      <c r="N37" s="407">
        <f t="shared" si="2"/>
        <v>51136</v>
      </c>
      <c r="O37" s="446">
        <f t="shared" si="8"/>
        <v>10581.520931592297</v>
      </c>
      <c r="P37" s="446">
        <f t="shared" si="8"/>
        <v>11562.706524235424</v>
      </c>
      <c r="Q37" s="446">
        <f t="shared" si="8"/>
        <v>19462.407597050769</v>
      </c>
      <c r="R37" s="446">
        <f t="shared" si="8"/>
        <v>11508.110140998684</v>
      </c>
      <c r="S37" s="446">
        <f t="shared" si="8"/>
        <v>9144.6481593734152</v>
      </c>
      <c r="T37" s="447">
        <f>Revalo_RB!D100</f>
        <v>1.7500000000000002E-2</v>
      </c>
    </row>
    <row r="38" spans="2:20" x14ac:dyDescent="0.25">
      <c r="B38" s="398">
        <v>2041</v>
      </c>
      <c r="C38" s="450">
        <f t="shared" si="4"/>
        <v>51502</v>
      </c>
      <c r="D38" s="451">
        <f t="shared" si="7"/>
        <v>2084.1878841967318</v>
      </c>
      <c r="E38" s="452">
        <f t="shared" si="7"/>
        <v>2014.4199321013477</v>
      </c>
      <c r="F38" s="452">
        <f t="shared" si="7"/>
        <v>1969.1625990778193</v>
      </c>
      <c r="G38" s="452">
        <f t="shared" si="7"/>
        <v>1903.038554358787</v>
      </c>
      <c r="H38" s="453">
        <v>3.5815000000000152E-2</v>
      </c>
      <c r="I38" s="454">
        <v>3.2762500000000028E-2</v>
      </c>
      <c r="J38" s="454">
        <v>3.0727500000000019E-2</v>
      </c>
      <c r="K38" s="455">
        <v>2.7674999999999894E-2</v>
      </c>
      <c r="L38" s="445"/>
      <c r="M38" s="406">
        <v>2041</v>
      </c>
      <c r="N38" s="407">
        <f t="shared" si="2"/>
        <v>51502</v>
      </c>
      <c r="O38" s="446">
        <f t="shared" si="8"/>
        <v>10766.697547895163</v>
      </c>
      <c r="P38" s="446">
        <f t="shared" si="8"/>
        <v>11765.053888409544</v>
      </c>
      <c r="Q38" s="446">
        <f t="shared" si="8"/>
        <v>19802.999729999159</v>
      </c>
      <c r="R38" s="446">
        <f t="shared" si="8"/>
        <v>11709.502068466161</v>
      </c>
      <c r="S38" s="446">
        <f t="shared" si="8"/>
        <v>9304.6795021624512</v>
      </c>
      <c r="T38" s="447">
        <f>Revalo_RB!D101</f>
        <v>1.7500000000000002E-2</v>
      </c>
    </row>
    <row r="39" spans="2:20" x14ac:dyDescent="0.25">
      <c r="B39" s="398">
        <v>2042</v>
      </c>
      <c r="C39" s="450">
        <f t="shared" si="4"/>
        <v>51867</v>
      </c>
      <c r="D39" s="451">
        <f t="shared" si="7"/>
        <v>2158.833073269238</v>
      </c>
      <c r="E39" s="452">
        <f t="shared" si="7"/>
        <v>2080.4173651268184</v>
      </c>
      <c r="F39" s="452">
        <f t="shared" si="7"/>
        <v>2029.6700428409831</v>
      </c>
      <c r="G39" s="452">
        <f t="shared" si="7"/>
        <v>1955.7051463506666</v>
      </c>
      <c r="H39" s="453">
        <v>3.5815000000000152E-2</v>
      </c>
      <c r="I39" s="454">
        <v>3.2762500000000028E-2</v>
      </c>
      <c r="J39" s="454">
        <v>3.0727500000000019E-2</v>
      </c>
      <c r="K39" s="455">
        <v>2.7675000000000116E-2</v>
      </c>
      <c r="L39" s="445"/>
      <c r="M39" s="406">
        <v>2042</v>
      </c>
      <c r="N39" s="407">
        <f t="shared" si="2"/>
        <v>51867</v>
      </c>
      <c r="O39" s="446">
        <f t="shared" si="8"/>
        <v>10955.114754983329</v>
      </c>
      <c r="P39" s="446">
        <f t="shared" si="8"/>
        <v>11970.942331456712</v>
      </c>
      <c r="Q39" s="446">
        <f t="shared" si="8"/>
        <v>20149.552225274147</v>
      </c>
      <c r="R39" s="446">
        <f t="shared" si="8"/>
        <v>11914.41835466432</v>
      </c>
      <c r="S39" s="446">
        <f t="shared" si="8"/>
        <v>9467.5113934502951</v>
      </c>
      <c r="T39" s="447">
        <f>Revalo_RB!D102</f>
        <v>1.7500000000000002E-2</v>
      </c>
    </row>
    <row r="40" spans="2:20" x14ac:dyDescent="0.25">
      <c r="B40" s="398">
        <v>2043</v>
      </c>
      <c r="C40" s="450">
        <f t="shared" si="4"/>
        <v>52232</v>
      </c>
      <c r="D40" s="451">
        <f t="shared" si="7"/>
        <v>2236.1516797883755</v>
      </c>
      <c r="E40" s="452">
        <f t="shared" si="7"/>
        <v>2148.577039051786</v>
      </c>
      <c r="F40" s="452">
        <f t="shared" si="7"/>
        <v>2092.0367290823797</v>
      </c>
      <c r="G40" s="452">
        <f t="shared" si="7"/>
        <v>2009.829286275921</v>
      </c>
      <c r="H40" s="453">
        <v>3.581499999999993E-2</v>
      </c>
      <c r="I40" s="454">
        <v>3.2762500000000028E-2</v>
      </c>
      <c r="J40" s="454">
        <v>3.0727500000000019E-2</v>
      </c>
      <c r="K40" s="455">
        <v>2.7674999999999894E-2</v>
      </c>
      <c r="L40" s="445"/>
      <c r="M40" s="406">
        <v>2043</v>
      </c>
      <c r="N40" s="407">
        <f t="shared" si="2"/>
        <v>52232</v>
      </c>
      <c r="O40" s="446">
        <f t="shared" si="8"/>
        <v>11146.829263195539</v>
      </c>
      <c r="P40" s="446">
        <f t="shared" si="8"/>
        <v>12180.433822257206</v>
      </c>
      <c r="Q40" s="446">
        <f t="shared" si="8"/>
        <v>20502.169389216444</v>
      </c>
      <c r="R40" s="446">
        <f t="shared" si="8"/>
        <v>12122.920675870946</v>
      </c>
      <c r="S40" s="446">
        <f t="shared" si="8"/>
        <v>9633.1928428356769</v>
      </c>
      <c r="T40" s="447">
        <f>Revalo_RB!D103</f>
        <v>1.7500000000000002E-2</v>
      </c>
    </row>
    <row r="41" spans="2:20" x14ac:dyDescent="0.25">
      <c r="B41" s="398">
        <v>2044</v>
      </c>
      <c r="C41" s="450">
        <f t="shared" si="4"/>
        <v>52597</v>
      </c>
      <c r="D41" s="451">
        <f t="shared" si="7"/>
        <v>2316.2394521999959</v>
      </c>
      <c r="E41" s="452">
        <f t="shared" si="7"/>
        <v>2218.96979429372</v>
      </c>
      <c r="F41" s="452">
        <f t="shared" si="7"/>
        <v>2156.3197876752583</v>
      </c>
      <c r="G41" s="452">
        <f t="shared" si="7"/>
        <v>2065.4513117736074</v>
      </c>
      <c r="H41" s="453">
        <v>3.581499999999993E-2</v>
      </c>
      <c r="I41" s="454">
        <v>3.2762500000000028E-2</v>
      </c>
      <c r="J41" s="454">
        <v>3.0727500000000019E-2</v>
      </c>
      <c r="K41" s="455">
        <v>2.7675000000000116E-2</v>
      </c>
      <c r="L41" s="445"/>
      <c r="M41" s="406">
        <v>2044</v>
      </c>
      <c r="N41" s="407">
        <f t="shared" si="2"/>
        <v>52597</v>
      </c>
      <c r="O41" s="446">
        <f t="shared" si="8"/>
        <v>11341.898775301463</v>
      </c>
      <c r="P41" s="446">
        <f t="shared" si="8"/>
        <v>12393.591414146707</v>
      </c>
      <c r="Q41" s="446">
        <f t="shared" si="8"/>
        <v>20860.957353527734</v>
      </c>
      <c r="R41" s="446">
        <f t="shared" si="8"/>
        <v>12335.071787698689</v>
      </c>
      <c r="S41" s="446">
        <f t="shared" si="8"/>
        <v>9801.7737175853017</v>
      </c>
      <c r="T41" s="447">
        <f>Revalo_RB!D104</f>
        <v>1.7500000000000002E-2</v>
      </c>
    </row>
    <row r="42" spans="2:20" x14ac:dyDescent="0.25">
      <c r="B42" s="398">
        <v>2045</v>
      </c>
      <c r="C42" s="450">
        <f t="shared" si="4"/>
        <v>52963</v>
      </c>
      <c r="D42" s="451">
        <f t="shared" si="7"/>
        <v>2399.1955681805389</v>
      </c>
      <c r="E42" s="452">
        <f t="shared" si="7"/>
        <v>2291.6687921792677</v>
      </c>
      <c r="F42" s="452">
        <f t="shared" si="7"/>
        <v>2222.5781039510498</v>
      </c>
      <c r="G42" s="452">
        <f t="shared" si="7"/>
        <v>2122.6126768269423</v>
      </c>
      <c r="H42" s="453">
        <v>3.5815000000000152E-2</v>
      </c>
      <c r="I42" s="454">
        <v>3.2762499999999806E-2</v>
      </c>
      <c r="J42" s="454">
        <v>3.0727500000000019E-2</v>
      </c>
      <c r="K42" s="455">
        <v>2.7675000000000116E-2</v>
      </c>
      <c r="L42" s="445"/>
      <c r="M42" s="406">
        <v>2045</v>
      </c>
      <c r="N42" s="407">
        <f t="shared" si="2"/>
        <v>52963</v>
      </c>
      <c r="O42" s="446">
        <f t="shared" si="8"/>
        <v>11540.382003869239</v>
      </c>
      <c r="P42" s="446">
        <f t="shared" si="8"/>
        <v>12610.479263894276</v>
      </c>
      <c r="Q42" s="446">
        <f t="shared" si="8"/>
        <v>21226.024107214471</v>
      </c>
      <c r="R42" s="446">
        <f t="shared" si="8"/>
        <v>12550.935543983416</v>
      </c>
      <c r="S42" s="446">
        <f t="shared" si="8"/>
        <v>9973.3047576430454</v>
      </c>
      <c r="T42" s="447">
        <f>Revalo_RB!D105</f>
        <v>1.7500000000000002E-2</v>
      </c>
    </row>
    <row r="43" spans="2:20" x14ac:dyDescent="0.25">
      <c r="B43" s="398">
        <v>2046</v>
      </c>
      <c r="C43" s="450">
        <f t="shared" si="4"/>
        <v>53328</v>
      </c>
      <c r="D43" s="451">
        <f t="shared" si="7"/>
        <v>2485.1227574549252</v>
      </c>
      <c r="E43" s="452">
        <f t="shared" si="7"/>
        <v>2366.7495909830404</v>
      </c>
      <c r="F43" s="452">
        <f t="shared" si="7"/>
        <v>2290.8723726402054</v>
      </c>
      <c r="G43" s="452">
        <f t="shared" si="7"/>
        <v>2181.3559826581281</v>
      </c>
      <c r="H43" s="453">
        <v>3.5815000000000152E-2</v>
      </c>
      <c r="I43" s="454">
        <v>3.2762499999999806E-2</v>
      </c>
      <c r="J43" s="454">
        <v>3.0727499999999797E-2</v>
      </c>
      <c r="K43" s="455">
        <v>2.7675000000000116E-2</v>
      </c>
      <c r="L43" s="445"/>
      <c r="M43" s="406">
        <v>2046</v>
      </c>
      <c r="N43" s="407">
        <f t="shared" si="2"/>
        <v>53328</v>
      </c>
      <c r="O43" s="446">
        <f t="shared" si="8"/>
        <v>11742.338688936952</v>
      </c>
      <c r="P43" s="446">
        <f t="shared" si="8"/>
        <v>12831.162651012428</v>
      </c>
      <c r="Q43" s="446">
        <f t="shared" si="8"/>
        <v>21597.479529090724</v>
      </c>
      <c r="R43" s="446">
        <f t="shared" si="8"/>
        <v>12770.576916003127</v>
      </c>
      <c r="S43" s="446">
        <f t="shared" si="8"/>
        <v>10147.8375909018</v>
      </c>
      <c r="T43" s="447">
        <f>Revalo_RB!D106</f>
        <v>1.7500000000000002E-2</v>
      </c>
    </row>
    <row r="44" spans="2:20" x14ac:dyDescent="0.25">
      <c r="B44" s="398">
        <v>2047</v>
      </c>
      <c r="C44" s="450">
        <f t="shared" si="4"/>
        <v>53693</v>
      </c>
      <c r="D44" s="451">
        <f t="shared" si="7"/>
        <v>2574.1274290131732</v>
      </c>
      <c r="E44" s="452">
        <f t="shared" si="7"/>
        <v>2444.2902244576226</v>
      </c>
      <c r="F44" s="452">
        <f t="shared" si="7"/>
        <v>2361.2651534705074</v>
      </c>
      <c r="G44" s="452">
        <f t="shared" si="7"/>
        <v>2241.7250094781925</v>
      </c>
      <c r="H44" s="453">
        <v>3.581499999999993E-2</v>
      </c>
      <c r="I44" s="454">
        <v>3.2762500000000028E-2</v>
      </c>
      <c r="J44" s="454">
        <v>3.0727500000000019E-2</v>
      </c>
      <c r="K44" s="455">
        <v>2.7675000000000338E-2</v>
      </c>
      <c r="L44" s="445"/>
      <c r="M44" s="406">
        <v>2047</v>
      </c>
      <c r="N44" s="407">
        <f t="shared" si="2"/>
        <v>53693</v>
      </c>
      <c r="O44" s="446">
        <f t="shared" si="8"/>
        <v>11947.829615993349</v>
      </c>
      <c r="P44" s="446">
        <f t="shared" si="8"/>
        <v>13055.707997405147</v>
      </c>
      <c r="Q44" s="446">
        <f t="shared" si="8"/>
        <v>21975.435420849812</v>
      </c>
      <c r="R44" s="446">
        <f t="shared" si="8"/>
        <v>12994.062012033182</v>
      </c>
      <c r="S44" s="446">
        <f t="shared" si="8"/>
        <v>10325.424748742582</v>
      </c>
      <c r="T44" s="447">
        <f>Revalo_RB!D107</f>
        <v>1.7500000000000002E-2</v>
      </c>
    </row>
    <row r="45" spans="2:20" x14ac:dyDescent="0.25">
      <c r="B45" s="398">
        <v>2048</v>
      </c>
      <c r="C45" s="450">
        <f t="shared" si="4"/>
        <v>54058</v>
      </c>
      <c r="D45" s="451">
        <f t="shared" si="7"/>
        <v>2666.3198028832799</v>
      </c>
      <c r="E45" s="452">
        <f t="shared" si="7"/>
        <v>2524.3712829364163</v>
      </c>
      <c r="F45" s="452">
        <f t="shared" si="7"/>
        <v>2433.8209284737723</v>
      </c>
      <c r="G45" s="452">
        <f t="shared" si="7"/>
        <v>2303.7647491155012</v>
      </c>
      <c r="H45" s="453">
        <v>3.581499999999993E-2</v>
      </c>
      <c r="I45" s="454">
        <v>3.276250000000025E-2</v>
      </c>
      <c r="J45" s="454">
        <v>3.0727500000000019E-2</v>
      </c>
      <c r="K45" s="455">
        <v>2.7674999999999894E-2</v>
      </c>
      <c r="L45" s="445"/>
      <c r="M45" s="406">
        <v>2048</v>
      </c>
      <c r="N45" s="407">
        <f t="shared" si="2"/>
        <v>54058</v>
      </c>
      <c r="O45" s="446">
        <f t="shared" si="8"/>
        <v>12156.916634273233</v>
      </c>
      <c r="P45" s="446">
        <f t="shared" si="8"/>
        <v>13284.182887359737</v>
      </c>
      <c r="Q45" s="446">
        <f t="shared" si="8"/>
        <v>22360.005540714687</v>
      </c>
      <c r="R45" s="446">
        <f t="shared" si="8"/>
        <v>13221.458097243763</v>
      </c>
      <c r="S45" s="446">
        <f t="shared" si="8"/>
        <v>10506.119681845577</v>
      </c>
      <c r="T45" s="447">
        <f>Revalo_RB!D108</f>
        <v>1.7500000000000002E-2</v>
      </c>
    </row>
    <row r="46" spans="2:20" x14ac:dyDescent="0.25">
      <c r="B46" s="398">
        <v>2049</v>
      </c>
      <c r="C46" s="450">
        <f t="shared" si="4"/>
        <v>54424</v>
      </c>
      <c r="D46" s="451">
        <f t="shared" si="7"/>
        <v>2761.814046623545</v>
      </c>
      <c r="E46" s="452">
        <f t="shared" si="7"/>
        <v>2607.0759970936201</v>
      </c>
      <c r="F46" s="452">
        <f t="shared" si="7"/>
        <v>2508.6061610534507</v>
      </c>
      <c r="G46" s="452">
        <f t="shared" si="7"/>
        <v>2367.5214385472732</v>
      </c>
      <c r="H46" s="453">
        <v>3.5815000000000152E-2</v>
      </c>
      <c r="I46" s="454">
        <v>3.2762499999999806E-2</v>
      </c>
      <c r="J46" s="454">
        <v>3.0727500000000241E-2</v>
      </c>
      <c r="K46" s="455">
        <v>2.7675000000000116E-2</v>
      </c>
      <c r="L46" s="445"/>
      <c r="M46" s="406">
        <v>2049</v>
      </c>
      <c r="N46" s="407">
        <f t="shared" si="2"/>
        <v>54424</v>
      </c>
      <c r="O46" s="446">
        <f t="shared" si="8"/>
        <v>12369.662675373016</v>
      </c>
      <c r="P46" s="446">
        <f t="shared" si="8"/>
        <v>13516.656087888534</v>
      </c>
      <c r="Q46" s="446">
        <f t="shared" si="8"/>
        <v>22751.305637677197</v>
      </c>
      <c r="R46" s="446">
        <f t="shared" si="8"/>
        <v>13452.83361394553</v>
      </c>
      <c r="S46" s="446">
        <f t="shared" si="8"/>
        <v>10689.976776277876</v>
      </c>
      <c r="T46" s="447">
        <f>Revalo_RB!D109</f>
        <v>1.7500000000000002E-2</v>
      </c>
    </row>
    <row r="47" spans="2:20" x14ac:dyDescent="0.25">
      <c r="B47" s="398">
        <v>2050</v>
      </c>
      <c r="C47" s="450">
        <f t="shared" si="4"/>
        <v>54789</v>
      </c>
      <c r="D47" s="451">
        <f t="shared" si="7"/>
        <v>2860.7284167033672</v>
      </c>
      <c r="E47" s="452">
        <f t="shared" si="7"/>
        <v>2692.4903244483999</v>
      </c>
      <c r="F47" s="452">
        <f t="shared" si="7"/>
        <v>2585.6893568672208</v>
      </c>
      <c r="G47" s="452">
        <f t="shared" si="7"/>
        <v>2433.0425943590694</v>
      </c>
      <c r="H47" s="453">
        <v>3.581499999999993E-2</v>
      </c>
      <c r="I47" s="454">
        <v>3.2762500000000028E-2</v>
      </c>
      <c r="J47" s="454">
        <v>3.0727500000000019E-2</v>
      </c>
      <c r="K47" s="455">
        <v>2.7675000000000116E-2</v>
      </c>
      <c r="L47" s="445"/>
      <c r="M47" s="406">
        <v>2050</v>
      </c>
      <c r="N47" s="407">
        <f t="shared" si="2"/>
        <v>54789</v>
      </c>
      <c r="O47" s="446">
        <f t="shared" si="8"/>
        <v>12586.131772192044</v>
      </c>
      <c r="P47" s="446">
        <f t="shared" si="8"/>
        <v>13753.197569426584</v>
      </c>
      <c r="Q47" s="446">
        <f t="shared" si="8"/>
        <v>23149.453486336548</v>
      </c>
      <c r="R47" s="446">
        <f t="shared" si="8"/>
        <v>13688.258202189578</v>
      </c>
      <c r="S47" s="446">
        <f t="shared" si="8"/>
        <v>10877.05136986274</v>
      </c>
      <c r="T47" s="447">
        <f>Revalo_RB!D110</f>
        <v>1.7500000000000002E-2</v>
      </c>
    </row>
    <row r="48" spans="2:20" x14ac:dyDescent="0.25">
      <c r="B48" s="398">
        <v>2051</v>
      </c>
      <c r="C48" s="450">
        <f t="shared" si="4"/>
        <v>55154</v>
      </c>
      <c r="D48" s="451">
        <f t="shared" si="7"/>
        <v>2963.1854049475987</v>
      </c>
      <c r="E48" s="452">
        <f t="shared" si="7"/>
        <v>2780.7030387031405</v>
      </c>
      <c r="F48" s="452">
        <f t="shared" si="7"/>
        <v>2665.1411265803576</v>
      </c>
      <c r="G48" s="452">
        <f t="shared" si="7"/>
        <v>2500.3770481579568</v>
      </c>
      <c r="H48" s="453">
        <v>3.5815000000000152E-2</v>
      </c>
      <c r="I48" s="454">
        <v>3.2762500000000028E-2</v>
      </c>
      <c r="J48" s="454">
        <v>3.0727499999999797E-2</v>
      </c>
      <c r="K48" s="455">
        <v>2.7675000000000116E-2</v>
      </c>
      <c r="L48" s="445"/>
      <c r="M48" s="406">
        <v>2051</v>
      </c>
      <c r="N48" s="407">
        <f t="shared" si="2"/>
        <v>55154</v>
      </c>
      <c r="O48" s="446">
        <f t="shared" si="8"/>
        <v>12806.389078205406</v>
      </c>
      <c r="P48" s="446">
        <f t="shared" si="8"/>
        <v>13993.878526891551</v>
      </c>
      <c r="Q48" s="446">
        <f t="shared" si="8"/>
        <v>23554.56892234744</v>
      </c>
      <c r="R48" s="446">
        <f t="shared" si="8"/>
        <v>13927.802720727896</v>
      </c>
      <c r="S48" s="446">
        <f t="shared" si="8"/>
        <v>11067.399768835339</v>
      </c>
      <c r="T48" s="447">
        <f>Revalo_RB!D111</f>
        <v>1.7500000000000002E-2</v>
      </c>
    </row>
    <row r="49" spans="2:20" x14ac:dyDescent="0.25">
      <c r="B49" s="398">
        <v>2052</v>
      </c>
      <c r="C49" s="407">
        <f t="shared" si="4"/>
        <v>55519</v>
      </c>
      <c r="D49" s="451">
        <f t="shared" si="7"/>
        <v>3069.3118902257966</v>
      </c>
      <c r="E49" s="452">
        <f t="shared" si="7"/>
        <v>2871.8058220086523</v>
      </c>
      <c r="F49" s="452">
        <f t="shared" si="7"/>
        <v>2747.0342505473564</v>
      </c>
      <c r="G49" s="452">
        <f t="shared" si="7"/>
        <v>2569.5749829657284</v>
      </c>
      <c r="H49" s="453">
        <v>3.581499999999993E-2</v>
      </c>
      <c r="I49" s="454">
        <v>3.2762500000000028E-2</v>
      </c>
      <c r="J49" s="454">
        <v>3.0727500000000241E-2</v>
      </c>
      <c r="K49" s="455">
        <v>2.7675000000000116E-2</v>
      </c>
      <c r="L49" s="445"/>
      <c r="M49" s="406">
        <v>2052</v>
      </c>
      <c r="N49" s="407">
        <f t="shared" si="2"/>
        <v>55519</v>
      </c>
      <c r="O49" s="446">
        <f t="shared" si="8"/>
        <v>13030.500887074002</v>
      </c>
      <c r="P49" s="446">
        <f t="shared" si="8"/>
        <v>14238.771401112153</v>
      </c>
      <c r="Q49" s="446">
        <f t="shared" si="8"/>
        <v>23966.773878488522</v>
      </c>
      <c r="R49" s="446">
        <f t="shared" si="8"/>
        <v>14171.539268340635</v>
      </c>
      <c r="S49" s="446">
        <f t="shared" si="8"/>
        <v>11261.079264789958</v>
      </c>
      <c r="T49" s="447">
        <f>Revalo_RB!D112</f>
        <v>1.7500000000000002E-2</v>
      </c>
    </row>
    <row r="50" spans="2:20" x14ac:dyDescent="0.25">
      <c r="B50" s="398">
        <v>2053</v>
      </c>
      <c r="C50" s="407">
        <f t="shared" si="4"/>
        <v>55885</v>
      </c>
      <c r="D50" s="451">
        <f t="shared" ref="D50:G65" si="9">D49*(1+H50)</f>
        <v>3179.2392955742339</v>
      </c>
      <c r="E50" s="452">
        <f t="shared" si="9"/>
        <v>2965.8933602522106</v>
      </c>
      <c r="F50" s="452">
        <f t="shared" si="9"/>
        <v>2831.4437454810495</v>
      </c>
      <c r="G50" s="452">
        <f t="shared" si="9"/>
        <v>2640.6879706193054</v>
      </c>
      <c r="H50" s="453">
        <v>3.5815000000000152E-2</v>
      </c>
      <c r="I50" s="454">
        <v>3.2762500000000028E-2</v>
      </c>
      <c r="J50" s="454">
        <v>3.0727499999999797E-2</v>
      </c>
      <c r="K50" s="455">
        <v>2.7675000000000116E-2</v>
      </c>
      <c r="L50" s="445"/>
      <c r="M50" s="406">
        <v>2053</v>
      </c>
      <c r="N50" s="407">
        <f t="shared" si="2"/>
        <v>55885</v>
      </c>
      <c r="O50" s="446">
        <f t="shared" si="8"/>
        <v>13258.534652597798</v>
      </c>
      <c r="P50" s="446">
        <f t="shared" si="8"/>
        <v>14487.949900631616</v>
      </c>
      <c r="Q50" s="446">
        <f t="shared" si="8"/>
        <v>24386.192421362073</v>
      </c>
      <c r="R50" s="446">
        <f t="shared" si="8"/>
        <v>14419.541205536598</v>
      </c>
      <c r="S50" s="446">
        <f t="shared" si="8"/>
        <v>11458.148151923782</v>
      </c>
      <c r="T50" s="447">
        <f>Revalo_RB!D113</f>
        <v>1.7500000000000002E-2</v>
      </c>
    </row>
    <row r="51" spans="2:20" x14ac:dyDescent="0.25">
      <c r="B51" s="398">
        <v>2054</v>
      </c>
      <c r="C51" s="407">
        <f t="shared" si="4"/>
        <v>56250</v>
      </c>
      <c r="D51" s="451">
        <f t="shared" si="9"/>
        <v>3293.1037509452249</v>
      </c>
      <c r="E51" s="452">
        <f t="shared" si="9"/>
        <v>3063.0634414674737</v>
      </c>
      <c r="F51" s="452">
        <f t="shared" si="9"/>
        <v>2918.4469331703185</v>
      </c>
      <c r="G51" s="452">
        <f t="shared" si="9"/>
        <v>2713.7690102061952</v>
      </c>
      <c r="H51" s="453">
        <v>3.581499999999993E-2</v>
      </c>
      <c r="I51" s="454">
        <v>3.2762500000000028E-2</v>
      </c>
      <c r="J51" s="454">
        <v>3.0727500000000019E-2</v>
      </c>
      <c r="K51" s="455">
        <v>2.7675000000000116E-2</v>
      </c>
      <c r="L51" s="445"/>
      <c r="M51" s="406">
        <v>2054</v>
      </c>
      <c r="N51" s="407">
        <f t="shared" si="2"/>
        <v>56250</v>
      </c>
      <c r="O51" s="446">
        <f t="shared" ref="O51:S66" si="10">O50*(1+$T51)</f>
        <v>13490.559009018261</v>
      </c>
      <c r="P51" s="446">
        <f t="shared" si="10"/>
        <v>14741.489023892671</v>
      </c>
      <c r="Q51" s="446">
        <f t="shared" si="10"/>
        <v>24812.95078873591</v>
      </c>
      <c r="R51" s="446">
        <f t="shared" si="10"/>
        <v>14671.88317663349</v>
      </c>
      <c r="S51" s="446">
        <f t="shared" si="10"/>
        <v>11658.665744582449</v>
      </c>
      <c r="T51" s="447">
        <f>Revalo_RB!D114</f>
        <v>1.7500000000000002E-2</v>
      </c>
    </row>
    <row r="52" spans="2:20" x14ac:dyDescent="0.25">
      <c r="B52" s="398">
        <v>2055</v>
      </c>
      <c r="C52" s="407">
        <f t="shared" si="4"/>
        <v>56615</v>
      </c>
      <c r="D52" s="451">
        <f t="shared" si="9"/>
        <v>3411.0462617853286</v>
      </c>
      <c r="E52" s="452">
        <f t="shared" si="9"/>
        <v>3163.4170574685518</v>
      </c>
      <c r="F52" s="452">
        <f t="shared" si="9"/>
        <v>3008.1235113093094</v>
      </c>
      <c r="G52" s="452">
        <f t="shared" si="9"/>
        <v>2788.872567563652</v>
      </c>
      <c r="H52" s="453">
        <v>3.5815000000000152E-2</v>
      </c>
      <c r="I52" s="454">
        <v>3.2762500000000028E-2</v>
      </c>
      <c r="J52" s="454">
        <v>3.0727500000000019E-2</v>
      </c>
      <c r="K52" s="455">
        <v>2.7675000000000116E-2</v>
      </c>
      <c r="L52" s="445"/>
      <c r="M52" s="406">
        <v>2055</v>
      </c>
      <c r="N52" s="407">
        <f t="shared" si="2"/>
        <v>56615</v>
      </c>
      <c r="O52" s="446">
        <f t="shared" si="10"/>
        <v>13726.643791676082</v>
      </c>
      <c r="P52" s="446">
        <f t="shared" si="10"/>
        <v>14999.465081810793</v>
      </c>
      <c r="Q52" s="446">
        <f t="shared" si="10"/>
        <v>25247.177427538791</v>
      </c>
      <c r="R52" s="446">
        <f t="shared" si="10"/>
        <v>14928.641132224577</v>
      </c>
      <c r="S52" s="446">
        <f t="shared" si="10"/>
        <v>11862.692395112643</v>
      </c>
      <c r="T52" s="447">
        <f>Revalo_RB!D115</f>
        <v>1.7500000000000002E-2</v>
      </c>
    </row>
    <row r="53" spans="2:20" x14ac:dyDescent="0.25">
      <c r="B53" s="398">
        <v>2056</v>
      </c>
      <c r="C53" s="407">
        <f t="shared" si="4"/>
        <v>56980</v>
      </c>
      <c r="D53" s="451">
        <f t="shared" si="9"/>
        <v>3533.2128836511706</v>
      </c>
      <c r="E53" s="452">
        <f t="shared" si="9"/>
        <v>3267.0585088138655</v>
      </c>
      <c r="F53" s="452">
        <f t="shared" si="9"/>
        <v>3100.5556265030664</v>
      </c>
      <c r="G53" s="452">
        <f t="shared" si="9"/>
        <v>2866.0546158709762</v>
      </c>
      <c r="H53" s="453">
        <v>3.5815000000000152E-2</v>
      </c>
      <c r="I53" s="454">
        <v>3.2762500000000028E-2</v>
      </c>
      <c r="J53" s="454">
        <v>3.0727500000000019E-2</v>
      </c>
      <c r="K53" s="455">
        <v>2.7675000000000116E-2</v>
      </c>
      <c r="L53" s="445"/>
      <c r="M53" s="406">
        <v>2056</v>
      </c>
      <c r="N53" s="407">
        <f t="shared" si="2"/>
        <v>56980</v>
      </c>
      <c r="O53" s="446">
        <f t="shared" si="10"/>
        <v>13966.860058030416</v>
      </c>
      <c r="P53" s="446">
        <f t="shared" si="10"/>
        <v>15261.955720742482</v>
      </c>
      <c r="Q53" s="446">
        <f t="shared" si="10"/>
        <v>25689.003032520723</v>
      </c>
      <c r="R53" s="446">
        <f t="shared" si="10"/>
        <v>15189.892352038509</v>
      </c>
      <c r="S53" s="446">
        <f t="shared" si="10"/>
        <v>12070.289512027115</v>
      </c>
      <c r="T53" s="447">
        <f>Revalo_RB!D116</f>
        <v>1.7500000000000002E-2</v>
      </c>
    </row>
    <row r="54" spans="2:20" x14ac:dyDescent="0.25">
      <c r="B54" s="398">
        <v>2057</v>
      </c>
      <c r="C54" s="407">
        <f t="shared" si="4"/>
        <v>57346</v>
      </c>
      <c r="D54" s="451">
        <f t="shared" si="9"/>
        <v>3659.754903079137</v>
      </c>
      <c r="E54" s="452">
        <f t="shared" si="9"/>
        <v>3374.0955132088798</v>
      </c>
      <c r="F54" s="452">
        <f t="shared" si="9"/>
        <v>3195.8279495164393</v>
      </c>
      <c r="G54" s="452">
        <f t="shared" si="9"/>
        <v>2945.3726773652061</v>
      </c>
      <c r="H54" s="453">
        <v>3.581499999999993E-2</v>
      </c>
      <c r="I54" s="454">
        <v>3.2762500000000028E-2</v>
      </c>
      <c r="J54" s="454">
        <v>3.0727500000000019E-2</v>
      </c>
      <c r="K54" s="455">
        <v>2.7675000000000116E-2</v>
      </c>
      <c r="L54" s="445"/>
      <c r="M54" s="406">
        <v>2057</v>
      </c>
      <c r="N54" s="407">
        <f t="shared" si="2"/>
        <v>57346</v>
      </c>
      <c r="O54" s="446">
        <f t="shared" si="10"/>
        <v>14211.280109045949</v>
      </c>
      <c r="P54" s="446">
        <f t="shared" si="10"/>
        <v>15529.039945855477</v>
      </c>
      <c r="Q54" s="446">
        <f t="shared" si="10"/>
        <v>26138.560585589836</v>
      </c>
      <c r="R54" s="446">
        <f t="shared" si="10"/>
        <v>15455.715468199183</v>
      </c>
      <c r="S54" s="446">
        <f t="shared" si="10"/>
        <v>12281.51957848759</v>
      </c>
      <c r="T54" s="447">
        <f>Revalo_RB!D117</f>
        <v>1.7500000000000002E-2</v>
      </c>
    </row>
    <row r="55" spans="2:20" x14ac:dyDescent="0.25">
      <c r="B55" s="398">
        <v>2058</v>
      </c>
      <c r="C55" s="407">
        <f t="shared" si="4"/>
        <v>57711</v>
      </c>
      <c r="D55" s="451">
        <f t="shared" si="9"/>
        <v>3790.829024932917</v>
      </c>
      <c r="E55" s="452">
        <f t="shared" si="9"/>
        <v>3484.6393174603859</v>
      </c>
      <c r="F55" s="452">
        <f t="shared" si="9"/>
        <v>3294.0277528352058</v>
      </c>
      <c r="G55" s="452">
        <f t="shared" si="9"/>
        <v>3026.8858662112884</v>
      </c>
      <c r="H55" s="453">
        <v>3.5815000000000152E-2</v>
      </c>
      <c r="I55" s="454">
        <v>3.2762500000000028E-2</v>
      </c>
      <c r="J55" s="454">
        <v>3.0727500000000019E-2</v>
      </c>
      <c r="K55" s="455">
        <v>2.7675000000000116E-2</v>
      </c>
      <c r="L55" s="445"/>
      <c r="M55" s="406">
        <v>2058</v>
      </c>
      <c r="N55" s="407">
        <f t="shared" si="2"/>
        <v>57711</v>
      </c>
      <c r="O55" s="446">
        <f t="shared" si="10"/>
        <v>14459.977510954253</v>
      </c>
      <c r="P55" s="446">
        <f t="shared" si="10"/>
        <v>15800.798144907949</v>
      </c>
      <c r="Q55" s="446">
        <f t="shared" si="10"/>
        <v>26595.985395837659</v>
      </c>
      <c r="R55" s="446">
        <f t="shared" si="10"/>
        <v>15726.190488892669</v>
      </c>
      <c r="S55" s="446">
        <f t="shared" si="10"/>
        <v>12496.446171111123</v>
      </c>
      <c r="T55" s="447">
        <f>Revalo_RB!D118</f>
        <v>1.7500000000000002E-2</v>
      </c>
    </row>
    <row r="56" spans="2:20" x14ac:dyDescent="0.25">
      <c r="B56" s="398">
        <v>2059</v>
      </c>
      <c r="C56" s="407">
        <f t="shared" si="4"/>
        <v>58076</v>
      </c>
      <c r="D56" s="451">
        <f t="shared" si="9"/>
        <v>3926.5975664608891</v>
      </c>
      <c r="E56" s="452">
        <f t="shared" si="9"/>
        <v>3598.8048130986804</v>
      </c>
      <c r="F56" s="452">
        <f t="shared" si="9"/>
        <v>3395.2449906104489</v>
      </c>
      <c r="G56" s="452">
        <f t="shared" si="9"/>
        <v>3110.6549325586848</v>
      </c>
      <c r="H56" s="453">
        <v>3.581499999999993E-2</v>
      </c>
      <c r="I56" s="454">
        <v>3.2762499999999584E-2</v>
      </c>
      <c r="J56" s="454">
        <v>3.0727499999999797E-2</v>
      </c>
      <c r="K56" s="455">
        <v>2.7674999999999672E-2</v>
      </c>
      <c r="L56" s="445"/>
      <c r="M56" s="406">
        <v>2059</v>
      </c>
      <c r="N56" s="407">
        <f t="shared" si="2"/>
        <v>58076</v>
      </c>
      <c r="O56" s="446">
        <f t="shared" si="10"/>
        <v>14713.027117395954</v>
      </c>
      <c r="P56" s="446">
        <f t="shared" si="10"/>
        <v>16077.312112443838</v>
      </c>
      <c r="Q56" s="446">
        <f t="shared" si="10"/>
        <v>27061.41514026482</v>
      </c>
      <c r="R56" s="446">
        <f t="shared" si="10"/>
        <v>16001.398822448293</v>
      </c>
      <c r="S56" s="446">
        <f t="shared" si="10"/>
        <v>12715.133979105569</v>
      </c>
      <c r="T56" s="447">
        <f>Revalo_RB!D119</f>
        <v>1.7500000000000002E-2</v>
      </c>
    </row>
    <row r="57" spans="2:20" x14ac:dyDescent="0.25">
      <c r="B57" s="398">
        <v>2060</v>
      </c>
      <c r="C57" s="407">
        <f t="shared" si="4"/>
        <v>58441</v>
      </c>
      <c r="D57" s="451">
        <f t="shared" si="9"/>
        <v>4067.2286583036866</v>
      </c>
      <c r="E57" s="452">
        <f t="shared" si="9"/>
        <v>3716.710655787826</v>
      </c>
      <c r="F57" s="452">
        <f t="shared" si="9"/>
        <v>3499.5723810594313</v>
      </c>
      <c r="G57" s="452">
        <f t="shared" si="9"/>
        <v>3196.7423078172469</v>
      </c>
      <c r="H57" s="453">
        <v>3.5815000000000152E-2</v>
      </c>
      <c r="I57" s="454">
        <v>3.2762500000000028E-2</v>
      </c>
      <c r="J57" s="454">
        <v>3.0727500000000019E-2</v>
      </c>
      <c r="K57" s="455">
        <v>2.7675000000000116E-2</v>
      </c>
      <c r="L57" s="445"/>
      <c r="M57" s="406">
        <v>2060</v>
      </c>
      <c r="N57" s="407">
        <f t="shared" si="2"/>
        <v>58441</v>
      </c>
      <c r="O57" s="446">
        <f t="shared" si="10"/>
        <v>14970.505091950385</v>
      </c>
      <c r="P57" s="446">
        <f t="shared" si="10"/>
        <v>16358.665074411607</v>
      </c>
      <c r="Q57" s="446">
        <f t="shared" si="10"/>
        <v>27534.989905219456</v>
      </c>
      <c r="R57" s="446">
        <f t="shared" si="10"/>
        <v>16281.42330184114</v>
      </c>
      <c r="S57" s="446">
        <f t="shared" si="10"/>
        <v>12937.648823739917</v>
      </c>
      <c r="T57" s="447">
        <f>Revalo_RB!D120</f>
        <v>1.7500000000000002E-2</v>
      </c>
    </row>
    <row r="58" spans="2:20" x14ac:dyDescent="0.25">
      <c r="B58" s="398">
        <v>2061</v>
      </c>
      <c r="C58" s="407">
        <f t="shared" si="4"/>
        <v>58807</v>
      </c>
      <c r="D58" s="451">
        <f t="shared" si="9"/>
        <v>4212.8964527008338</v>
      </c>
      <c r="E58" s="452">
        <f t="shared" si="9"/>
        <v>3838.4793886480747</v>
      </c>
      <c r="F58" s="452">
        <f t="shared" si="9"/>
        <v>3607.1054913984349</v>
      </c>
      <c r="G58" s="452">
        <f t="shared" si="9"/>
        <v>3285.2121511860896</v>
      </c>
      <c r="H58" s="453">
        <v>3.5815000000000152E-2</v>
      </c>
      <c r="I58" s="454">
        <v>3.2762500000000028E-2</v>
      </c>
      <c r="J58" s="454">
        <v>3.0727500000000019E-2</v>
      </c>
      <c r="K58" s="455">
        <v>2.7675000000000116E-2</v>
      </c>
      <c r="L58" s="445"/>
      <c r="M58" s="406">
        <v>2061</v>
      </c>
      <c r="N58" s="407">
        <f t="shared" si="2"/>
        <v>58807</v>
      </c>
      <c r="O58" s="446">
        <f t="shared" si="10"/>
        <v>15232.488931059517</v>
      </c>
      <c r="P58" s="446">
        <f t="shared" si="10"/>
        <v>16644.941713213811</v>
      </c>
      <c r="Q58" s="446">
        <f t="shared" si="10"/>
        <v>28016.852228560798</v>
      </c>
      <c r="R58" s="446">
        <f t="shared" si="10"/>
        <v>16566.34820962336</v>
      </c>
      <c r="S58" s="446">
        <f t="shared" si="10"/>
        <v>13164.057678155366</v>
      </c>
      <c r="T58" s="447">
        <f>Revalo_RB!D121</f>
        <v>1.7500000000000002E-2</v>
      </c>
    </row>
    <row r="59" spans="2:20" x14ac:dyDescent="0.25">
      <c r="B59" s="398">
        <v>2062</v>
      </c>
      <c r="C59" s="407">
        <f t="shared" si="4"/>
        <v>59172</v>
      </c>
      <c r="D59" s="451">
        <f t="shared" si="9"/>
        <v>4363.781339154315</v>
      </c>
      <c r="E59" s="452">
        <f t="shared" si="9"/>
        <v>3964.2375696186564</v>
      </c>
      <c r="F59" s="452">
        <f t="shared" si="9"/>
        <v>3717.9428253853794</v>
      </c>
      <c r="G59" s="452">
        <f t="shared" si="9"/>
        <v>3376.1303974701636</v>
      </c>
      <c r="H59" s="453">
        <v>3.5815000000000152E-2</v>
      </c>
      <c r="I59" s="454">
        <v>3.2762499999999806E-2</v>
      </c>
      <c r="J59" s="454">
        <v>3.0727499999999797E-2</v>
      </c>
      <c r="K59" s="455">
        <v>2.7674999999999672E-2</v>
      </c>
      <c r="L59" s="445"/>
      <c r="M59" s="406">
        <v>2062</v>
      </c>
      <c r="N59" s="407">
        <f t="shared" si="2"/>
        <v>59172</v>
      </c>
      <c r="O59" s="446">
        <f t="shared" si="10"/>
        <v>15499.05748735306</v>
      </c>
      <c r="P59" s="446">
        <f t="shared" si="10"/>
        <v>16936.228193195053</v>
      </c>
      <c r="Q59" s="446">
        <f t="shared" si="10"/>
        <v>28507.147142560614</v>
      </c>
      <c r="R59" s="446">
        <f t="shared" si="10"/>
        <v>16856.259303291768</v>
      </c>
      <c r="S59" s="446">
        <f t="shared" si="10"/>
        <v>13394.428687523086</v>
      </c>
      <c r="T59" s="447">
        <f>Revalo_RB!D122</f>
        <v>1.7500000000000002E-2</v>
      </c>
    </row>
    <row r="60" spans="2:20" x14ac:dyDescent="0.25">
      <c r="B60" s="398">
        <v>2063</v>
      </c>
      <c r="C60" s="407">
        <f t="shared" si="4"/>
        <v>59537</v>
      </c>
      <c r="D60" s="451">
        <f t="shared" si="9"/>
        <v>4520.0701678161286</v>
      </c>
      <c r="E60" s="452">
        <f t="shared" si="9"/>
        <v>4094.1159029932878</v>
      </c>
      <c r="F60" s="452">
        <f t="shared" si="9"/>
        <v>3832.1859135524087</v>
      </c>
      <c r="G60" s="452">
        <f t="shared" si="9"/>
        <v>3469.5648062201517</v>
      </c>
      <c r="H60" s="453">
        <v>3.5815000000000374E-2</v>
      </c>
      <c r="I60" s="454">
        <v>3.2762500000000028E-2</v>
      </c>
      <c r="J60" s="454">
        <v>3.0727500000000019E-2</v>
      </c>
      <c r="K60" s="455">
        <v>2.7675000000000338E-2</v>
      </c>
      <c r="L60" s="445"/>
      <c r="M60" s="406">
        <v>2063</v>
      </c>
      <c r="N60" s="407">
        <f t="shared" si="2"/>
        <v>59537</v>
      </c>
      <c r="O60" s="446">
        <f t="shared" si="10"/>
        <v>15770.290993381741</v>
      </c>
      <c r="P60" s="446">
        <f t="shared" si="10"/>
        <v>17232.612186575967</v>
      </c>
      <c r="Q60" s="446">
        <f t="shared" si="10"/>
        <v>29006.022217555426</v>
      </c>
      <c r="R60" s="446">
        <f t="shared" si="10"/>
        <v>17151.243841099375</v>
      </c>
      <c r="S60" s="446">
        <f t="shared" si="10"/>
        <v>13628.831189554741</v>
      </c>
      <c r="T60" s="447">
        <f>Revalo_RB!D123</f>
        <v>1.7500000000000002E-2</v>
      </c>
    </row>
    <row r="61" spans="2:20" x14ac:dyDescent="0.25">
      <c r="B61" s="398">
        <v>2064</v>
      </c>
      <c r="C61" s="407">
        <f t="shared" si="4"/>
        <v>59902</v>
      </c>
      <c r="D61" s="451">
        <f t="shared" si="9"/>
        <v>4681.9564808764626</v>
      </c>
      <c r="E61" s="452">
        <f t="shared" si="9"/>
        <v>4228.2493752651053</v>
      </c>
      <c r="F61" s="452">
        <f t="shared" si="9"/>
        <v>3949.9394062110905</v>
      </c>
      <c r="G61" s="452">
        <f t="shared" si="9"/>
        <v>3565.585012232295</v>
      </c>
      <c r="H61" s="453">
        <v>3.581499999999993E-2</v>
      </c>
      <c r="I61" s="454">
        <v>3.2762500000000028E-2</v>
      </c>
      <c r="J61" s="454">
        <v>3.0727500000000019E-2</v>
      </c>
      <c r="K61" s="455">
        <v>2.7675000000000116E-2</v>
      </c>
      <c r="L61" s="445"/>
      <c r="M61" s="406">
        <v>2064</v>
      </c>
      <c r="N61" s="407">
        <f t="shared" si="2"/>
        <v>59902</v>
      </c>
      <c r="O61" s="446">
        <f t="shared" si="10"/>
        <v>16046.271085765922</v>
      </c>
      <c r="P61" s="446">
        <f t="shared" si="10"/>
        <v>17534.182899841049</v>
      </c>
      <c r="Q61" s="446">
        <f t="shared" si="10"/>
        <v>29513.62760636265</v>
      </c>
      <c r="R61" s="446">
        <f t="shared" si="10"/>
        <v>17451.390608318616</v>
      </c>
      <c r="S61" s="446">
        <f t="shared" si="10"/>
        <v>13867.335735371949</v>
      </c>
      <c r="T61" s="447">
        <f>Revalo_RB!D124</f>
        <v>1.7500000000000002E-2</v>
      </c>
    </row>
    <row r="62" spans="2:20" x14ac:dyDescent="0.25">
      <c r="B62" s="398">
        <v>2065</v>
      </c>
      <c r="C62" s="407">
        <f t="shared" si="4"/>
        <v>60268</v>
      </c>
      <c r="D62" s="451">
        <f t="shared" si="9"/>
        <v>4849.6407522390537</v>
      </c>
      <c r="E62" s="452">
        <f t="shared" si="9"/>
        <v>4366.7773954222284</v>
      </c>
      <c r="F62" s="452">
        <f t="shared" si="9"/>
        <v>4071.311169315441</v>
      </c>
      <c r="G62" s="452">
        <f t="shared" si="9"/>
        <v>3664.2625774458243</v>
      </c>
      <c r="H62" s="453">
        <v>3.5815000000000152E-2</v>
      </c>
      <c r="I62" s="454">
        <v>3.2762500000000028E-2</v>
      </c>
      <c r="J62" s="454">
        <v>3.0727499999999797E-2</v>
      </c>
      <c r="K62" s="455">
        <v>2.7675000000000116E-2</v>
      </c>
      <c r="L62" s="445"/>
      <c r="M62" s="406">
        <v>2065</v>
      </c>
      <c r="N62" s="407">
        <f t="shared" si="2"/>
        <v>60268</v>
      </c>
      <c r="O62" s="446">
        <f t="shared" si="10"/>
        <v>16327.080829766826</v>
      </c>
      <c r="P62" s="446">
        <f t="shared" si="10"/>
        <v>17841.031100588269</v>
      </c>
      <c r="Q62" s="446">
        <f t="shared" si="10"/>
        <v>30030.116089473999</v>
      </c>
      <c r="R62" s="446">
        <f t="shared" si="10"/>
        <v>17756.789943964191</v>
      </c>
      <c r="S62" s="446">
        <f t="shared" si="10"/>
        <v>14110.01411074096</v>
      </c>
      <c r="T62" s="447">
        <f>Revalo_RB!D125</f>
        <v>1.7500000000000002E-2</v>
      </c>
    </row>
    <row r="63" spans="2:20" x14ac:dyDescent="0.25">
      <c r="B63" s="398">
        <v>2066</v>
      </c>
      <c r="C63" s="407">
        <f t="shared" si="4"/>
        <v>60633</v>
      </c>
      <c r="D63" s="451">
        <f t="shared" si="9"/>
        <v>5023.330635780495</v>
      </c>
      <c r="E63" s="452">
        <f t="shared" si="9"/>
        <v>4509.8439398397495</v>
      </c>
      <c r="F63" s="452">
        <f t="shared" si="9"/>
        <v>4196.41238327058</v>
      </c>
      <c r="G63" s="452">
        <f t="shared" si="9"/>
        <v>3765.671044276638</v>
      </c>
      <c r="H63" s="453">
        <v>3.581499999999993E-2</v>
      </c>
      <c r="I63" s="454">
        <v>3.2762500000000028E-2</v>
      </c>
      <c r="J63" s="454">
        <v>3.0727499999999797E-2</v>
      </c>
      <c r="K63" s="455">
        <v>2.7675000000000116E-2</v>
      </c>
      <c r="L63" s="445"/>
      <c r="M63" s="406">
        <v>2066</v>
      </c>
      <c r="N63" s="407">
        <f t="shared" si="2"/>
        <v>60633</v>
      </c>
      <c r="O63" s="446">
        <f t="shared" si="10"/>
        <v>16612.804744287747</v>
      </c>
      <c r="P63" s="446">
        <f t="shared" si="10"/>
        <v>18153.249144848563</v>
      </c>
      <c r="Q63" s="446">
        <f t="shared" si="10"/>
        <v>30555.643121039797</v>
      </c>
      <c r="R63" s="446">
        <f t="shared" si="10"/>
        <v>18067.533767983565</v>
      </c>
      <c r="S63" s="446">
        <f t="shared" si="10"/>
        <v>14356.939357678928</v>
      </c>
      <c r="T63" s="447">
        <f>Revalo_RB!D126</f>
        <v>1.7500000000000002E-2</v>
      </c>
    </row>
    <row r="64" spans="2:20" x14ac:dyDescent="0.25">
      <c r="B64" s="398">
        <v>2067</v>
      </c>
      <c r="C64" s="407">
        <f t="shared" si="4"/>
        <v>60998</v>
      </c>
      <c r="D64" s="451">
        <f t="shared" si="9"/>
        <v>5203.2412225009739</v>
      </c>
      <c r="E64" s="452">
        <f t="shared" si="9"/>
        <v>4657.5977019187494</v>
      </c>
      <c r="F64" s="452">
        <f t="shared" si="9"/>
        <v>4325.3576447775258</v>
      </c>
      <c r="G64" s="452">
        <f t="shared" si="9"/>
        <v>3869.8859904269943</v>
      </c>
      <c r="H64" s="453">
        <v>3.5815000000000152E-2</v>
      </c>
      <c r="I64" s="454">
        <v>3.2762500000000028E-2</v>
      </c>
      <c r="J64" s="454">
        <v>3.0727499999999797E-2</v>
      </c>
      <c r="K64" s="455">
        <v>2.7675000000000116E-2</v>
      </c>
      <c r="L64" s="445"/>
      <c r="M64" s="406">
        <v>2067</v>
      </c>
      <c r="N64" s="407">
        <f t="shared" si="2"/>
        <v>60998</v>
      </c>
      <c r="O64" s="446">
        <f t="shared" si="10"/>
        <v>16903.528827312784</v>
      </c>
      <c r="P64" s="446">
        <f t="shared" si="10"/>
        <v>18470.931004883416</v>
      </c>
      <c r="Q64" s="446">
        <f t="shared" si="10"/>
        <v>31090.366875657994</v>
      </c>
      <c r="R64" s="446">
        <f t="shared" si="10"/>
        <v>18383.715608923278</v>
      </c>
      <c r="S64" s="446">
        <f t="shared" si="10"/>
        <v>14608.185796438311</v>
      </c>
      <c r="T64" s="447">
        <f>Revalo_RB!D127</f>
        <v>1.7500000000000002E-2</v>
      </c>
    </row>
    <row r="65" spans="2:20" x14ac:dyDescent="0.25">
      <c r="B65" s="398">
        <v>2068</v>
      </c>
      <c r="C65" s="407">
        <f t="shared" si="4"/>
        <v>61363</v>
      </c>
      <c r="D65" s="451">
        <f t="shared" si="9"/>
        <v>5389.5953068848457</v>
      </c>
      <c r="E65" s="452">
        <f t="shared" si="9"/>
        <v>4810.1922466278611</v>
      </c>
      <c r="F65" s="452">
        <f t="shared" si="9"/>
        <v>4458.2650718074274</v>
      </c>
      <c r="G65" s="452">
        <f t="shared" si="9"/>
        <v>3976.9850852120612</v>
      </c>
      <c r="H65" s="453">
        <v>3.581499999999993E-2</v>
      </c>
      <c r="I65" s="454">
        <v>3.2762499999999806E-2</v>
      </c>
      <c r="J65" s="454">
        <v>3.0727500000000019E-2</v>
      </c>
      <c r="K65" s="455">
        <v>2.7674999999999894E-2</v>
      </c>
      <c r="L65" s="445"/>
      <c r="M65" s="406">
        <v>2068</v>
      </c>
      <c r="N65" s="407">
        <f t="shared" si="2"/>
        <v>61363</v>
      </c>
      <c r="O65" s="446">
        <f t="shared" si="10"/>
        <v>17199.340581790759</v>
      </c>
      <c r="P65" s="446">
        <f t="shared" si="10"/>
        <v>18794.172297468878</v>
      </c>
      <c r="Q65" s="446">
        <f t="shared" si="10"/>
        <v>31634.448295982012</v>
      </c>
      <c r="R65" s="446">
        <f t="shared" si="10"/>
        <v>18705.430632079435</v>
      </c>
      <c r="S65" s="446">
        <f t="shared" si="10"/>
        <v>14863.829047875983</v>
      </c>
      <c r="T65" s="447">
        <f>Revalo_RB!D128</f>
        <v>1.7500000000000002E-2</v>
      </c>
    </row>
    <row r="66" spans="2:20" x14ac:dyDescent="0.25">
      <c r="B66" s="398">
        <v>2069</v>
      </c>
      <c r="C66" s="407">
        <f t="shared" si="4"/>
        <v>61729</v>
      </c>
      <c r="D66" s="451">
        <f t="shared" ref="D66:G67" si="11">D65*(1+H66)</f>
        <v>5582.6236628009283</v>
      </c>
      <c r="E66" s="452">
        <f t="shared" si="11"/>
        <v>4967.7861701080064</v>
      </c>
      <c r="F66" s="452">
        <f t="shared" si="11"/>
        <v>4595.2564118013897</v>
      </c>
      <c r="G66" s="452">
        <f t="shared" si="11"/>
        <v>4087.0481474453054</v>
      </c>
      <c r="H66" s="453">
        <v>3.5815000000000374E-2</v>
      </c>
      <c r="I66" s="454">
        <v>3.2762500000000028E-2</v>
      </c>
      <c r="J66" s="454">
        <v>3.0727500000000019E-2</v>
      </c>
      <c r="K66" s="455">
        <v>2.7675000000000116E-2</v>
      </c>
      <c r="L66" s="445"/>
      <c r="M66" s="406">
        <v>2069</v>
      </c>
      <c r="N66" s="407">
        <f t="shared" si="2"/>
        <v>61729</v>
      </c>
      <c r="O66" s="446">
        <f t="shared" si="10"/>
        <v>17500.329041972098</v>
      </c>
      <c r="P66" s="446">
        <f t="shared" si="10"/>
        <v>19123.070312674587</v>
      </c>
      <c r="Q66" s="446">
        <f t="shared" si="10"/>
        <v>32188.051141161701</v>
      </c>
      <c r="R66" s="446">
        <f t="shared" si="10"/>
        <v>19032.775668140825</v>
      </c>
      <c r="S66" s="446">
        <f t="shared" si="10"/>
        <v>15123.946056213814</v>
      </c>
      <c r="T66" s="447">
        <f>Revalo_RB!D129</f>
        <v>1.7500000000000002E-2</v>
      </c>
    </row>
    <row r="67" spans="2:20" ht="15.75" thickBot="1" x14ac:dyDescent="0.3">
      <c r="B67" s="410">
        <v>2070</v>
      </c>
      <c r="C67" s="414">
        <f t="shared" si="4"/>
        <v>62094</v>
      </c>
      <c r="D67" s="456">
        <f t="shared" si="11"/>
        <v>5782.5653292841434</v>
      </c>
      <c r="E67" s="457">
        <f t="shared" si="11"/>
        <v>5130.5432645061701</v>
      </c>
      <c r="F67" s="457">
        <f t="shared" si="11"/>
        <v>4736.4571531950178</v>
      </c>
      <c r="G67" s="457">
        <f t="shared" si="11"/>
        <v>4200.1572049258548</v>
      </c>
      <c r="H67" s="458">
        <v>3.581499999999993E-2</v>
      </c>
      <c r="I67" s="459">
        <v>3.2762500000000028E-2</v>
      </c>
      <c r="J67" s="459">
        <v>3.0727500000000241E-2</v>
      </c>
      <c r="K67" s="460">
        <v>2.7675000000000116E-2</v>
      </c>
      <c r="L67" s="445"/>
      <c r="M67" s="413">
        <v>2070</v>
      </c>
      <c r="N67" s="414">
        <f t="shared" si="2"/>
        <v>62094</v>
      </c>
      <c r="O67" s="461">
        <f t="shared" ref="O67:S67" si="12">O66*(1+$T67)</f>
        <v>17806.584800206612</v>
      </c>
      <c r="P67" s="461">
        <f t="shared" si="12"/>
        <v>19457.724043146394</v>
      </c>
      <c r="Q67" s="461">
        <f t="shared" si="12"/>
        <v>32751.342036132031</v>
      </c>
      <c r="R67" s="461">
        <f t="shared" si="12"/>
        <v>19365.84924233329</v>
      </c>
      <c r="S67" s="461">
        <f t="shared" si="12"/>
        <v>15388.615112197556</v>
      </c>
      <c r="T67" s="462">
        <f>Revalo_RB!D130</f>
        <v>1.7500000000000002E-2</v>
      </c>
    </row>
    <row r="68" spans="2:20" ht="41.25" customHeight="1" x14ac:dyDescent="0.25">
      <c r="B68" s="809"/>
      <c r="C68" s="809"/>
      <c r="D68" s="809"/>
      <c r="E68" s="809"/>
      <c r="F68" s="809"/>
      <c r="G68" s="809"/>
      <c r="H68" s="463"/>
      <c r="I68" s="463"/>
      <c r="J68" s="463"/>
      <c r="K68" s="463"/>
      <c r="N68" s="464"/>
      <c r="O68" s="464"/>
      <c r="P68" s="464"/>
      <c r="Q68" s="464"/>
      <c r="R68" s="464"/>
      <c r="S68" s="464"/>
      <c r="T68" s="463" t="s">
        <v>303</v>
      </c>
    </row>
  </sheetData>
  <mergeCells count="9">
    <mergeCell ref="T4:T5"/>
    <mergeCell ref="C5:C6"/>
    <mergeCell ref="D5:G5"/>
    <mergeCell ref="H5:K5"/>
    <mergeCell ref="B68:G68"/>
    <mergeCell ref="B4:B6"/>
    <mergeCell ref="C4:K4"/>
    <mergeCell ref="M4:M6"/>
    <mergeCell ref="N4:N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T142"/>
  <sheetViews>
    <sheetView topLeftCell="A49" workbookViewId="0">
      <selection activeCell="A22" sqref="A1:XFD1048576"/>
    </sheetView>
  </sheetViews>
  <sheetFormatPr baseColWidth="10" defaultColWidth="11.42578125" defaultRowHeight="15" x14ac:dyDescent="0.25"/>
  <cols>
    <col min="1" max="1" width="1.85546875" style="372" customWidth="1"/>
    <col min="2" max="2" width="9.7109375" style="372" customWidth="1"/>
    <col min="3" max="10" width="13" style="372" customWidth="1"/>
    <col min="11" max="16384" width="11.42578125" style="372"/>
  </cols>
  <sheetData>
    <row r="1" spans="2:19" x14ac:dyDescent="0.25">
      <c r="B1" s="371" t="s">
        <v>322</v>
      </c>
    </row>
    <row r="2" spans="2:19" x14ac:dyDescent="0.25">
      <c r="B2" s="372" t="s">
        <v>294</v>
      </c>
    </row>
    <row r="3" spans="2:19" ht="15.75" thickBot="1" x14ac:dyDescent="0.3"/>
    <row r="4" spans="2:19" ht="19.5" customHeight="1" x14ac:dyDescent="0.25">
      <c r="B4" s="811" t="s">
        <v>10</v>
      </c>
      <c r="C4" s="813" t="s">
        <v>323</v>
      </c>
      <c r="D4" s="814"/>
      <c r="E4" s="814"/>
      <c r="F4" s="815"/>
      <c r="G4" s="813" t="s">
        <v>324</v>
      </c>
      <c r="H4" s="814"/>
      <c r="I4" s="814"/>
      <c r="J4" s="815"/>
      <c r="K4" s="813" t="s">
        <v>314</v>
      </c>
      <c r="L4" s="814"/>
      <c r="M4" s="814"/>
      <c r="N4" s="815"/>
      <c r="O4" s="816" t="s">
        <v>325</v>
      </c>
      <c r="P4" s="814"/>
      <c r="Q4" s="814"/>
      <c r="R4" s="817"/>
    </row>
    <row r="5" spans="2:19" ht="19.5" customHeight="1" thickBot="1" x14ac:dyDescent="0.3">
      <c r="B5" s="812"/>
      <c r="C5" s="422" t="s">
        <v>316</v>
      </c>
      <c r="D5" s="420" t="s">
        <v>317</v>
      </c>
      <c r="E5" s="420" t="s">
        <v>318</v>
      </c>
      <c r="F5" s="421" t="s">
        <v>319</v>
      </c>
      <c r="G5" s="422" t="s">
        <v>316</v>
      </c>
      <c r="H5" s="420" t="s">
        <v>317</v>
      </c>
      <c r="I5" s="420" t="s">
        <v>318</v>
      </c>
      <c r="J5" s="421" t="s">
        <v>319</v>
      </c>
      <c r="K5" s="422" t="s">
        <v>316</v>
      </c>
      <c r="L5" s="420" t="s">
        <v>317</v>
      </c>
      <c r="M5" s="420" t="s">
        <v>318</v>
      </c>
      <c r="N5" s="421" t="s">
        <v>319</v>
      </c>
      <c r="O5" s="419" t="s">
        <v>316</v>
      </c>
      <c r="P5" s="420" t="s">
        <v>317</v>
      </c>
      <c r="Q5" s="420" t="s">
        <v>318</v>
      </c>
      <c r="R5" s="423" t="s">
        <v>319</v>
      </c>
    </row>
    <row r="6" spans="2:19" ht="15" customHeight="1" x14ac:dyDescent="0.25">
      <c r="B6" s="389">
        <v>1949</v>
      </c>
      <c r="C6" s="474">
        <v>12.958166465179882</v>
      </c>
      <c r="D6" s="475">
        <f>C6</f>
        <v>12.958166465179882</v>
      </c>
      <c r="E6" s="475">
        <f>D6</f>
        <v>12.958166465179882</v>
      </c>
      <c r="F6" s="476">
        <f>E6</f>
        <v>12.958166465179882</v>
      </c>
      <c r="G6" s="477">
        <v>261.19700532831405</v>
      </c>
      <c r="H6" s="475">
        <v>261.19700532831405</v>
      </c>
      <c r="I6" s="475">
        <v>261.19700532831405</v>
      </c>
      <c r="J6" s="476">
        <v>261.19700532831405</v>
      </c>
      <c r="K6" s="478"/>
      <c r="L6" s="438"/>
      <c r="M6" s="438"/>
      <c r="N6" s="479"/>
      <c r="O6" s="437"/>
      <c r="P6" s="438"/>
      <c r="Q6" s="438"/>
      <c r="R6" s="439"/>
      <c r="S6" s="480"/>
    </row>
    <row r="7" spans="2:19" ht="15" customHeight="1" x14ac:dyDescent="0.25">
      <c r="B7" s="389">
        <v>1950</v>
      </c>
      <c r="C7" s="474">
        <v>17.150514439208667</v>
      </c>
      <c r="D7" s="475">
        <f t="shared" ref="D7:F70" si="0">C7</f>
        <v>17.150514439208667</v>
      </c>
      <c r="E7" s="475">
        <f t="shared" si="0"/>
        <v>17.150514439208667</v>
      </c>
      <c r="F7" s="476">
        <f t="shared" si="0"/>
        <v>17.150514439208667</v>
      </c>
      <c r="G7" s="477">
        <v>314.10210905300266</v>
      </c>
      <c r="H7" s="475">
        <v>314.10210905300266</v>
      </c>
      <c r="I7" s="475">
        <v>314.10210905300266</v>
      </c>
      <c r="J7" s="476">
        <v>314.10210905300266</v>
      </c>
      <c r="K7" s="478">
        <f t="shared" ref="K7:R22" si="1">C7/C6-1</f>
        <v>0.32352941176470584</v>
      </c>
      <c r="L7" s="438">
        <f t="shared" si="1"/>
        <v>0.32352941176470584</v>
      </c>
      <c r="M7" s="438">
        <f t="shared" si="1"/>
        <v>0.32352941176470584</v>
      </c>
      <c r="N7" s="479">
        <f t="shared" si="1"/>
        <v>0.32352941176470584</v>
      </c>
      <c r="O7" s="437">
        <f t="shared" si="1"/>
        <v>0.20254866114635983</v>
      </c>
      <c r="P7" s="438">
        <f t="shared" si="1"/>
        <v>0.20254866114635983</v>
      </c>
      <c r="Q7" s="438">
        <f t="shared" si="1"/>
        <v>0.20254866114635983</v>
      </c>
      <c r="R7" s="439">
        <f t="shared" si="1"/>
        <v>0.20254866114635983</v>
      </c>
      <c r="S7" s="480"/>
    </row>
    <row r="8" spans="2:19" ht="15" customHeight="1" x14ac:dyDescent="0.25">
      <c r="B8" s="389">
        <v>1951</v>
      </c>
      <c r="C8" s="474">
        <v>19.818372240863351</v>
      </c>
      <c r="D8" s="475">
        <f t="shared" si="0"/>
        <v>19.818372240863351</v>
      </c>
      <c r="E8" s="475">
        <f t="shared" si="0"/>
        <v>19.818372240863351</v>
      </c>
      <c r="F8" s="476">
        <f t="shared" si="0"/>
        <v>19.818372240863351</v>
      </c>
      <c r="G8" s="477">
        <v>312.6621308802662</v>
      </c>
      <c r="H8" s="475">
        <v>312.6621308802662</v>
      </c>
      <c r="I8" s="475">
        <v>312.6621308802662</v>
      </c>
      <c r="J8" s="476">
        <v>312.6621308802662</v>
      </c>
      <c r="K8" s="478">
        <f t="shared" si="1"/>
        <v>0.15555555555555567</v>
      </c>
      <c r="L8" s="438">
        <f t="shared" si="1"/>
        <v>0.15555555555555567</v>
      </c>
      <c r="M8" s="438">
        <f t="shared" si="1"/>
        <v>0.15555555555555567</v>
      </c>
      <c r="N8" s="479">
        <f t="shared" si="1"/>
        <v>0.15555555555555567</v>
      </c>
      <c r="O8" s="437">
        <f t="shared" si="1"/>
        <v>-4.5844269466317478E-3</v>
      </c>
      <c r="P8" s="438">
        <f t="shared" si="1"/>
        <v>-4.5844269466317478E-3</v>
      </c>
      <c r="Q8" s="438">
        <f t="shared" si="1"/>
        <v>-4.5844269466317478E-3</v>
      </c>
      <c r="R8" s="439">
        <f t="shared" si="1"/>
        <v>-4.5844269466317478E-3</v>
      </c>
      <c r="S8" s="480"/>
    </row>
    <row r="9" spans="2:19" ht="15" customHeight="1" x14ac:dyDescent="0.25">
      <c r="B9" s="389">
        <v>1952</v>
      </c>
      <c r="C9" s="474">
        <v>22.791128076992852</v>
      </c>
      <c r="D9" s="475">
        <f t="shared" si="0"/>
        <v>22.791128076992852</v>
      </c>
      <c r="E9" s="475">
        <f t="shared" si="0"/>
        <v>22.791128076992852</v>
      </c>
      <c r="F9" s="476">
        <f t="shared" si="0"/>
        <v>22.791128076992852</v>
      </c>
      <c r="G9" s="477">
        <v>321.12731515515384</v>
      </c>
      <c r="H9" s="475">
        <v>321.12731515515384</v>
      </c>
      <c r="I9" s="475">
        <v>321.12731515515384</v>
      </c>
      <c r="J9" s="476">
        <v>321.12731515515384</v>
      </c>
      <c r="K9" s="478">
        <f t="shared" si="1"/>
        <v>0.14999999999999991</v>
      </c>
      <c r="L9" s="438">
        <f t="shared" si="1"/>
        <v>0.14999999999999991</v>
      </c>
      <c r="M9" s="438">
        <f t="shared" si="1"/>
        <v>0.14999999999999991</v>
      </c>
      <c r="N9" s="479">
        <f t="shared" si="1"/>
        <v>0.14999999999999991</v>
      </c>
      <c r="O9" s="437">
        <f t="shared" si="1"/>
        <v>2.707454289732758E-2</v>
      </c>
      <c r="P9" s="438">
        <f t="shared" si="1"/>
        <v>2.707454289732758E-2</v>
      </c>
      <c r="Q9" s="438">
        <f t="shared" si="1"/>
        <v>2.707454289732758E-2</v>
      </c>
      <c r="R9" s="439">
        <f t="shared" si="1"/>
        <v>2.707454289732758E-2</v>
      </c>
      <c r="S9" s="480"/>
    </row>
    <row r="10" spans="2:19" ht="15" customHeight="1" x14ac:dyDescent="0.25">
      <c r="B10" s="389">
        <v>1953</v>
      </c>
      <c r="C10" s="474">
        <v>22.791128076992852</v>
      </c>
      <c r="D10" s="475">
        <f t="shared" si="0"/>
        <v>22.791128076992852</v>
      </c>
      <c r="E10" s="475">
        <f t="shared" si="0"/>
        <v>22.791128076992852</v>
      </c>
      <c r="F10" s="476">
        <f t="shared" si="0"/>
        <v>22.791128076992852</v>
      </c>
      <c r="G10" s="477">
        <v>326.64023043678736</v>
      </c>
      <c r="H10" s="475">
        <v>326.64023043678736</v>
      </c>
      <c r="I10" s="475">
        <v>326.64023043678736</v>
      </c>
      <c r="J10" s="476">
        <v>326.64023043678736</v>
      </c>
      <c r="K10" s="478">
        <f t="shared" si="1"/>
        <v>0</v>
      </c>
      <c r="L10" s="438">
        <f t="shared" si="1"/>
        <v>0</v>
      </c>
      <c r="M10" s="438">
        <f t="shared" si="1"/>
        <v>0</v>
      </c>
      <c r="N10" s="479">
        <f t="shared" si="1"/>
        <v>0</v>
      </c>
      <c r="O10" s="437">
        <f t="shared" si="1"/>
        <v>1.716738197424883E-2</v>
      </c>
      <c r="P10" s="438">
        <f t="shared" si="1"/>
        <v>1.716738197424883E-2</v>
      </c>
      <c r="Q10" s="438">
        <f t="shared" si="1"/>
        <v>1.716738197424883E-2</v>
      </c>
      <c r="R10" s="439">
        <f t="shared" si="1"/>
        <v>1.716738197424883E-2</v>
      </c>
      <c r="S10" s="480"/>
    </row>
    <row r="11" spans="2:19" ht="15" customHeight="1" x14ac:dyDescent="0.25">
      <c r="B11" s="389">
        <v>1954</v>
      </c>
      <c r="C11" s="474">
        <v>25.077863335554007</v>
      </c>
      <c r="D11" s="475">
        <f t="shared" si="0"/>
        <v>25.077863335554007</v>
      </c>
      <c r="E11" s="475">
        <f t="shared" si="0"/>
        <v>25.077863335554007</v>
      </c>
      <c r="F11" s="476">
        <f t="shared" si="0"/>
        <v>25.077863335554007</v>
      </c>
      <c r="G11" s="477">
        <v>357.87754258629639</v>
      </c>
      <c r="H11" s="475">
        <v>357.87754258629639</v>
      </c>
      <c r="I11" s="475">
        <v>357.87754258629639</v>
      </c>
      <c r="J11" s="476">
        <v>357.87754258629639</v>
      </c>
      <c r="K11" s="478">
        <f t="shared" si="1"/>
        <v>0.10033444816053505</v>
      </c>
      <c r="L11" s="438">
        <f t="shared" si="1"/>
        <v>0.10033444816053505</v>
      </c>
      <c r="M11" s="438">
        <f t="shared" si="1"/>
        <v>0.10033444816053505</v>
      </c>
      <c r="N11" s="479">
        <f t="shared" si="1"/>
        <v>0.10033444816053505</v>
      </c>
      <c r="O11" s="437">
        <f t="shared" si="1"/>
        <v>9.5632164194037195E-2</v>
      </c>
      <c r="P11" s="438">
        <f t="shared" si="1"/>
        <v>9.5632164194037195E-2</v>
      </c>
      <c r="Q11" s="438">
        <f t="shared" si="1"/>
        <v>9.5632164194037195E-2</v>
      </c>
      <c r="R11" s="439">
        <f t="shared" si="1"/>
        <v>9.5632164194037195E-2</v>
      </c>
      <c r="S11" s="480"/>
    </row>
    <row r="12" spans="2:19" ht="15" customHeight="1" x14ac:dyDescent="0.25">
      <c r="B12" s="389">
        <v>1955</v>
      </c>
      <c r="C12" s="474">
        <v>25.077863335554007</v>
      </c>
      <c r="D12" s="475">
        <f t="shared" si="0"/>
        <v>25.077863335554007</v>
      </c>
      <c r="E12" s="475">
        <f t="shared" si="0"/>
        <v>25.077863335554007</v>
      </c>
      <c r="F12" s="476">
        <f t="shared" si="0"/>
        <v>25.077863335554007</v>
      </c>
      <c r="G12" s="477">
        <v>354.34419590349796</v>
      </c>
      <c r="H12" s="475">
        <v>354.34419590349796</v>
      </c>
      <c r="I12" s="475">
        <v>354.34419590349796</v>
      </c>
      <c r="J12" s="476">
        <v>354.34419590349796</v>
      </c>
      <c r="K12" s="478">
        <f t="shared" si="1"/>
        <v>0</v>
      </c>
      <c r="L12" s="438">
        <f t="shared" si="1"/>
        <v>0</v>
      </c>
      <c r="M12" s="438">
        <f t="shared" si="1"/>
        <v>0</v>
      </c>
      <c r="N12" s="479">
        <f t="shared" si="1"/>
        <v>0</v>
      </c>
      <c r="O12" s="437">
        <f t="shared" si="1"/>
        <v>-9.873060648801113E-3</v>
      </c>
      <c r="P12" s="438">
        <f t="shared" si="1"/>
        <v>-9.873060648801113E-3</v>
      </c>
      <c r="Q12" s="438">
        <f t="shared" si="1"/>
        <v>-9.873060648801113E-3</v>
      </c>
      <c r="R12" s="439">
        <f t="shared" si="1"/>
        <v>-9.873060648801113E-3</v>
      </c>
      <c r="S12" s="480"/>
    </row>
    <row r="13" spans="2:19" ht="15" customHeight="1" x14ac:dyDescent="0.25">
      <c r="B13" s="389">
        <v>1956</v>
      </c>
      <c r="C13" s="474">
        <v>27.585649669109408</v>
      </c>
      <c r="D13" s="475">
        <f t="shared" si="0"/>
        <v>27.585649669109408</v>
      </c>
      <c r="E13" s="475">
        <f t="shared" si="0"/>
        <v>27.585649669109408</v>
      </c>
      <c r="F13" s="476">
        <f t="shared" si="0"/>
        <v>27.585649669109408</v>
      </c>
      <c r="G13" s="477">
        <v>374.46211163297841</v>
      </c>
      <c r="H13" s="475">
        <v>374.46211163297841</v>
      </c>
      <c r="I13" s="475">
        <v>374.46211163297841</v>
      </c>
      <c r="J13" s="476">
        <v>374.46211163297841</v>
      </c>
      <c r="K13" s="478">
        <f t="shared" si="1"/>
        <v>0.10000000000000009</v>
      </c>
      <c r="L13" s="438">
        <f t="shared" si="1"/>
        <v>0.10000000000000009</v>
      </c>
      <c r="M13" s="438">
        <f t="shared" si="1"/>
        <v>0.10000000000000009</v>
      </c>
      <c r="N13" s="479">
        <f t="shared" si="1"/>
        <v>0.10000000000000009</v>
      </c>
      <c r="O13" s="437">
        <f t="shared" si="1"/>
        <v>5.6775067750677533E-2</v>
      </c>
      <c r="P13" s="438">
        <f t="shared" si="1"/>
        <v>5.6775067750677533E-2</v>
      </c>
      <c r="Q13" s="438">
        <f t="shared" si="1"/>
        <v>5.6775067750677533E-2</v>
      </c>
      <c r="R13" s="439">
        <f t="shared" si="1"/>
        <v>5.6775067750677533E-2</v>
      </c>
      <c r="S13" s="480"/>
    </row>
    <row r="14" spans="2:19" ht="15" customHeight="1" x14ac:dyDescent="0.25">
      <c r="B14" s="389">
        <v>1957</v>
      </c>
      <c r="C14" s="474">
        <v>27.585649669109408</v>
      </c>
      <c r="D14" s="475">
        <f t="shared" si="0"/>
        <v>27.585649669109408</v>
      </c>
      <c r="E14" s="475">
        <f t="shared" si="0"/>
        <v>27.585649669109408</v>
      </c>
      <c r="F14" s="476">
        <f t="shared" si="0"/>
        <v>27.585649669109408</v>
      </c>
      <c r="G14" s="477">
        <v>363.14459708953751</v>
      </c>
      <c r="H14" s="475">
        <v>363.14459708953751</v>
      </c>
      <c r="I14" s="475">
        <v>363.14459708953751</v>
      </c>
      <c r="J14" s="476">
        <v>363.14459708953751</v>
      </c>
      <c r="K14" s="478">
        <f t="shared" si="1"/>
        <v>0</v>
      </c>
      <c r="L14" s="438">
        <f t="shared" si="1"/>
        <v>0</v>
      </c>
      <c r="M14" s="438">
        <f t="shared" si="1"/>
        <v>0</v>
      </c>
      <c r="N14" s="479">
        <f t="shared" si="1"/>
        <v>0</v>
      </c>
      <c r="O14" s="437">
        <f t="shared" si="1"/>
        <v>-3.0223390275952777E-2</v>
      </c>
      <c r="P14" s="438">
        <f t="shared" si="1"/>
        <v>-3.0223390275952777E-2</v>
      </c>
      <c r="Q14" s="438">
        <f t="shared" si="1"/>
        <v>-3.0223390275952777E-2</v>
      </c>
      <c r="R14" s="439">
        <f t="shared" si="1"/>
        <v>-3.0223390275952777E-2</v>
      </c>
      <c r="S14" s="480"/>
    </row>
    <row r="15" spans="2:19" ht="15" customHeight="1" x14ac:dyDescent="0.25">
      <c r="B15" s="389">
        <v>1958</v>
      </c>
      <c r="C15" s="474">
        <v>27.585649669109408</v>
      </c>
      <c r="D15" s="475">
        <f t="shared" si="0"/>
        <v>27.585649669109408</v>
      </c>
      <c r="E15" s="475">
        <f t="shared" si="0"/>
        <v>27.585649669109408</v>
      </c>
      <c r="F15" s="476">
        <f t="shared" si="0"/>
        <v>27.585649669109408</v>
      </c>
      <c r="G15" s="477">
        <v>315.83204386872922</v>
      </c>
      <c r="H15" s="475">
        <v>315.83204386872922</v>
      </c>
      <c r="I15" s="475">
        <v>315.83204386872922</v>
      </c>
      <c r="J15" s="476">
        <v>315.83204386872922</v>
      </c>
      <c r="K15" s="478">
        <f t="shared" si="1"/>
        <v>0</v>
      </c>
      <c r="L15" s="438">
        <f t="shared" si="1"/>
        <v>0</v>
      </c>
      <c r="M15" s="438">
        <f t="shared" si="1"/>
        <v>0</v>
      </c>
      <c r="N15" s="479">
        <f t="shared" si="1"/>
        <v>0</v>
      </c>
      <c r="O15" s="437">
        <f t="shared" si="1"/>
        <v>-0.13028571428571423</v>
      </c>
      <c r="P15" s="438">
        <f t="shared" si="1"/>
        <v>-0.13028571428571423</v>
      </c>
      <c r="Q15" s="438">
        <f t="shared" si="1"/>
        <v>-0.13028571428571423</v>
      </c>
      <c r="R15" s="439">
        <f t="shared" si="1"/>
        <v>-0.13028571428571423</v>
      </c>
      <c r="S15" s="480"/>
    </row>
    <row r="16" spans="2:19" ht="15" customHeight="1" x14ac:dyDescent="0.25">
      <c r="B16" s="389">
        <v>1959</v>
      </c>
      <c r="C16" s="474">
        <v>27.585649669109408</v>
      </c>
      <c r="D16" s="475">
        <f t="shared" si="0"/>
        <v>27.585649669109408</v>
      </c>
      <c r="E16" s="475">
        <f t="shared" si="0"/>
        <v>27.585649669109408</v>
      </c>
      <c r="F16" s="476">
        <f t="shared" si="0"/>
        <v>27.585649669109408</v>
      </c>
      <c r="G16" s="477">
        <v>297.47366887528318</v>
      </c>
      <c r="H16" s="475">
        <v>297.47366887528318</v>
      </c>
      <c r="I16" s="475">
        <v>297.47366887528318</v>
      </c>
      <c r="J16" s="476">
        <v>297.47366887528318</v>
      </c>
      <c r="K16" s="478">
        <f t="shared" si="1"/>
        <v>0</v>
      </c>
      <c r="L16" s="438">
        <f t="shared" si="1"/>
        <v>0</v>
      </c>
      <c r="M16" s="438">
        <f t="shared" si="1"/>
        <v>0</v>
      </c>
      <c r="N16" s="479">
        <f t="shared" si="1"/>
        <v>0</v>
      </c>
      <c r="O16" s="437">
        <f t="shared" si="1"/>
        <v>-5.8127018299246491E-2</v>
      </c>
      <c r="P16" s="438">
        <f t="shared" si="1"/>
        <v>-5.8127018299246491E-2</v>
      </c>
      <c r="Q16" s="438">
        <f t="shared" si="1"/>
        <v>-5.8127018299246491E-2</v>
      </c>
      <c r="R16" s="439">
        <f t="shared" si="1"/>
        <v>-5.8127018299246491E-2</v>
      </c>
      <c r="S16" s="480"/>
    </row>
    <row r="17" spans="2:19" ht="15" customHeight="1" x14ac:dyDescent="0.25">
      <c r="B17" s="389">
        <v>1960</v>
      </c>
      <c r="C17" s="474">
        <v>27.585649669109408</v>
      </c>
      <c r="D17" s="475">
        <f t="shared" si="0"/>
        <v>27.585649669109408</v>
      </c>
      <c r="E17" s="475">
        <f t="shared" si="0"/>
        <v>27.585649669109408</v>
      </c>
      <c r="F17" s="476">
        <f t="shared" si="0"/>
        <v>27.585649669109408</v>
      </c>
      <c r="G17" s="477">
        <v>286.97096405517971</v>
      </c>
      <c r="H17" s="475">
        <v>286.97096405517971</v>
      </c>
      <c r="I17" s="475">
        <v>286.97096405517971</v>
      </c>
      <c r="J17" s="476">
        <v>286.97096405517971</v>
      </c>
      <c r="K17" s="478">
        <f t="shared" si="1"/>
        <v>0</v>
      </c>
      <c r="L17" s="438">
        <f t="shared" si="1"/>
        <v>0</v>
      </c>
      <c r="M17" s="438">
        <f t="shared" si="1"/>
        <v>0</v>
      </c>
      <c r="N17" s="479">
        <f t="shared" si="1"/>
        <v>0</v>
      </c>
      <c r="O17" s="437">
        <f t="shared" si="1"/>
        <v>-3.530633437175501E-2</v>
      </c>
      <c r="P17" s="438">
        <f t="shared" si="1"/>
        <v>-3.530633437175501E-2</v>
      </c>
      <c r="Q17" s="438">
        <f t="shared" si="1"/>
        <v>-3.530633437175501E-2</v>
      </c>
      <c r="R17" s="439">
        <f t="shared" si="1"/>
        <v>-3.530633437175501E-2</v>
      </c>
      <c r="S17" s="480"/>
    </row>
    <row r="18" spans="2:19" ht="15" customHeight="1" x14ac:dyDescent="0.25">
      <c r="B18" s="389">
        <v>1961</v>
      </c>
      <c r="C18" s="474">
        <v>27.585649669109408</v>
      </c>
      <c r="D18" s="475">
        <f t="shared" si="0"/>
        <v>27.585649669109408</v>
      </c>
      <c r="E18" s="475">
        <f t="shared" si="0"/>
        <v>27.585649669109408</v>
      </c>
      <c r="F18" s="476">
        <f t="shared" si="0"/>
        <v>27.585649669109408</v>
      </c>
      <c r="G18" s="477">
        <v>277.74174712074182</v>
      </c>
      <c r="H18" s="475">
        <v>277.74174712074182</v>
      </c>
      <c r="I18" s="475">
        <v>277.74174712074182</v>
      </c>
      <c r="J18" s="476">
        <v>277.74174712074182</v>
      </c>
      <c r="K18" s="478">
        <f t="shared" si="1"/>
        <v>0</v>
      </c>
      <c r="L18" s="438">
        <f t="shared" si="1"/>
        <v>0</v>
      </c>
      <c r="M18" s="438">
        <f t="shared" si="1"/>
        <v>0</v>
      </c>
      <c r="N18" s="479">
        <f t="shared" si="1"/>
        <v>0</v>
      </c>
      <c r="O18" s="437">
        <f t="shared" si="1"/>
        <v>-3.2160804020100353E-2</v>
      </c>
      <c r="P18" s="438">
        <f t="shared" si="1"/>
        <v>-3.2160804020100353E-2</v>
      </c>
      <c r="Q18" s="438">
        <f t="shared" si="1"/>
        <v>-3.2160804020100353E-2</v>
      </c>
      <c r="R18" s="439">
        <f t="shared" si="1"/>
        <v>-3.2160804020100353E-2</v>
      </c>
      <c r="S18" s="480"/>
    </row>
    <row r="19" spans="2:19" ht="15" customHeight="1" x14ac:dyDescent="0.25">
      <c r="B19" s="389">
        <v>1962</v>
      </c>
      <c r="C19" s="474">
        <v>27.585649669109408</v>
      </c>
      <c r="D19" s="475">
        <f t="shared" si="0"/>
        <v>27.585649669109408</v>
      </c>
      <c r="E19" s="475">
        <f t="shared" si="0"/>
        <v>27.585649669109408</v>
      </c>
      <c r="F19" s="476">
        <f t="shared" si="0"/>
        <v>27.585649669109408</v>
      </c>
      <c r="G19" s="477">
        <v>265.21404835425915</v>
      </c>
      <c r="H19" s="475">
        <v>265.21404835425915</v>
      </c>
      <c r="I19" s="475">
        <v>265.21404835425915</v>
      </c>
      <c r="J19" s="476">
        <v>265.21404835425915</v>
      </c>
      <c r="K19" s="478">
        <f t="shared" si="1"/>
        <v>0</v>
      </c>
      <c r="L19" s="438">
        <f t="shared" si="1"/>
        <v>0</v>
      </c>
      <c r="M19" s="438">
        <f t="shared" si="1"/>
        <v>0</v>
      </c>
      <c r="N19" s="479">
        <f t="shared" si="1"/>
        <v>0</v>
      </c>
      <c r="O19" s="437">
        <f t="shared" si="1"/>
        <v>-4.5105566218810234E-2</v>
      </c>
      <c r="P19" s="438">
        <f t="shared" si="1"/>
        <v>-4.5105566218810234E-2</v>
      </c>
      <c r="Q19" s="438">
        <f t="shared" si="1"/>
        <v>-4.5105566218810234E-2</v>
      </c>
      <c r="R19" s="439">
        <f t="shared" si="1"/>
        <v>-4.5105566218810234E-2</v>
      </c>
      <c r="S19" s="480"/>
    </row>
    <row r="20" spans="2:19" ht="15" customHeight="1" x14ac:dyDescent="0.25">
      <c r="B20" s="389">
        <v>1963</v>
      </c>
      <c r="C20" s="474">
        <v>30.489803447482075</v>
      </c>
      <c r="D20" s="475">
        <f t="shared" si="0"/>
        <v>30.489803447482075</v>
      </c>
      <c r="E20" s="475">
        <f t="shared" si="0"/>
        <v>30.489803447482075</v>
      </c>
      <c r="F20" s="476">
        <f t="shared" si="0"/>
        <v>30.489803447482075</v>
      </c>
      <c r="G20" s="477">
        <v>279.71323345867711</v>
      </c>
      <c r="H20" s="475">
        <v>279.71323345867711</v>
      </c>
      <c r="I20" s="475">
        <v>279.71323345867711</v>
      </c>
      <c r="J20" s="476">
        <v>279.71323345867711</v>
      </c>
      <c r="K20" s="478">
        <f t="shared" si="1"/>
        <v>0.10527770102238176</v>
      </c>
      <c r="L20" s="438">
        <f t="shared" si="1"/>
        <v>0.10527770102238176</v>
      </c>
      <c r="M20" s="438">
        <f t="shared" si="1"/>
        <v>0.10527770102238176</v>
      </c>
      <c r="N20" s="479">
        <f t="shared" si="1"/>
        <v>0.10527770102238176</v>
      </c>
      <c r="O20" s="437">
        <f t="shared" si="1"/>
        <v>5.4669747678866232E-2</v>
      </c>
      <c r="P20" s="438">
        <f t="shared" si="1"/>
        <v>5.4669747678866232E-2</v>
      </c>
      <c r="Q20" s="438">
        <f t="shared" si="1"/>
        <v>5.4669747678866232E-2</v>
      </c>
      <c r="R20" s="439">
        <f t="shared" si="1"/>
        <v>5.4669747678866232E-2</v>
      </c>
      <c r="S20" s="480"/>
    </row>
    <row r="21" spans="2:19" ht="15" customHeight="1" x14ac:dyDescent="0.25">
      <c r="B21" s="389">
        <v>1964</v>
      </c>
      <c r="C21" s="474">
        <v>34.301028878417334</v>
      </c>
      <c r="D21" s="475">
        <f t="shared" si="0"/>
        <v>34.301028878417334</v>
      </c>
      <c r="E21" s="475">
        <f t="shared" si="0"/>
        <v>34.301028878417334</v>
      </c>
      <c r="F21" s="476">
        <f t="shared" si="0"/>
        <v>34.301028878417334</v>
      </c>
      <c r="G21" s="477">
        <v>304.09531619821672</v>
      </c>
      <c r="H21" s="475">
        <v>304.09531619821672</v>
      </c>
      <c r="I21" s="475">
        <v>304.09531619821672</v>
      </c>
      <c r="J21" s="476">
        <v>304.09531619821672</v>
      </c>
      <c r="K21" s="478">
        <f t="shared" si="1"/>
        <v>0.125</v>
      </c>
      <c r="L21" s="438">
        <f t="shared" si="1"/>
        <v>0.125</v>
      </c>
      <c r="M21" s="438">
        <f t="shared" si="1"/>
        <v>0.125</v>
      </c>
      <c r="N21" s="479">
        <f t="shared" si="1"/>
        <v>0.125</v>
      </c>
      <c r="O21" s="437">
        <f t="shared" si="1"/>
        <v>8.7168141592920634E-2</v>
      </c>
      <c r="P21" s="438">
        <f t="shared" si="1"/>
        <v>8.7168141592920634E-2</v>
      </c>
      <c r="Q21" s="438">
        <f t="shared" si="1"/>
        <v>8.7168141592920634E-2</v>
      </c>
      <c r="R21" s="439">
        <f t="shared" si="1"/>
        <v>8.7168141592920634E-2</v>
      </c>
      <c r="S21" s="480"/>
    </row>
    <row r="22" spans="2:19" ht="15" customHeight="1" x14ac:dyDescent="0.25">
      <c r="B22" s="389">
        <v>1965</v>
      </c>
      <c r="C22" s="474">
        <v>38.112254309352593</v>
      </c>
      <c r="D22" s="475">
        <f t="shared" si="0"/>
        <v>38.112254309352593</v>
      </c>
      <c r="E22" s="475">
        <f t="shared" si="0"/>
        <v>38.112254309352593</v>
      </c>
      <c r="F22" s="476">
        <f t="shared" si="0"/>
        <v>38.112254309352593</v>
      </c>
      <c r="G22" s="477">
        <v>329.71378555362202</v>
      </c>
      <c r="H22" s="475">
        <v>329.71378555362202</v>
      </c>
      <c r="I22" s="475">
        <v>329.71378555362202</v>
      </c>
      <c r="J22" s="476">
        <v>329.71378555362202</v>
      </c>
      <c r="K22" s="478">
        <f t="shared" si="1"/>
        <v>0.11111111111111116</v>
      </c>
      <c r="L22" s="438">
        <f t="shared" si="1"/>
        <v>0.11111111111111116</v>
      </c>
      <c r="M22" s="438">
        <f t="shared" si="1"/>
        <v>0.11111111111111116</v>
      </c>
      <c r="N22" s="479">
        <f t="shared" si="1"/>
        <v>0.11111111111111116</v>
      </c>
      <c r="O22" s="437">
        <f t="shared" si="1"/>
        <v>8.424486662828623E-2</v>
      </c>
      <c r="P22" s="438">
        <f t="shared" si="1"/>
        <v>8.424486662828623E-2</v>
      </c>
      <c r="Q22" s="438">
        <f t="shared" si="1"/>
        <v>8.424486662828623E-2</v>
      </c>
      <c r="R22" s="439">
        <f t="shared" si="1"/>
        <v>8.424486662828623E-2</v>
      </c>
      <c r="S22" s="480"/>
    </row>
    <row r="23" spans="2:19" ht="15" customHeight="1" x14ac:dyDescent="0.25">
      <c r="B23" s="389">
        <v>1966</v>
      </c>
      <c r="C23" s="474">
        <v>43.829092455755486</v>
      </c>
      <c r="D23" s="475">
        <f t="shared" si="0"/>
        <v>43.829092455755486</v>
      </c>
      <c r="E23" s="475">
        <f t="shared" si="0"/>
        <v>43.829092455755486</v>
      </c>
      <c r="F23" s="476">
        <f t="shared" si="0"/>
        <v>43.829092455755486</v>
      </c>
      <c r="G23" s="477">
        <v>369.2849858887792</v>
      </c>
      <c r="H23" s="475">
        <v>369.2849858887792</v>
      </c>
      <c r="I23" s="475">
        <v>369.2849858887792</v>
      </c>
      <c r="J23" s="476">
        <v>369.2849858887792</v>
      </c>
      <c r="K23" s="478">
        <f t="shared" ref="K23:R53" si="2">C23/C22-1</f>
        <v>0.15000000000000013</v>
      </c>
      <c r="L23" s="438">
        <f t="shared" si="2"/>
        <v>0.15000000000000013</v>
      </c>
      <c r="M23" s="438">
        <f t="shared" si="2"/>
        <v>0.15000000000000013</v>
      </c>
      <c r="N23" s="479">
        <f t="shared" si="2"/>
        <v>0.15000000000000013</v>
      </c>
      <c r="O23" s="437">
        <f t="shared" si="2"/>
        <v>0.1200168208578638</v>
      </c>
      <c r="P23" s="438">
        <f t="shared" si="2"/>
        <v>0.1200168208578638</v>
      </c>
      <c r="Q23" s="438">
        <f t="shared" si="2"/>
        <v>0.1200168208578638</v>
      </c>
      <c r="R23" s="439">
        <f t="shared" si="2"/>
        <v>0.1200168208578638</v>
      </c>
      <c r="S23" s="480"/>
    </row>
    <row r="24" spans="2:19" ht="15" customHeight="1" x14ac:dyDescent="0.25">
      <c r="B24" s="389">
        <v>1967</v>
      </c>
      <c r="C24" s="474">
        <v>49.545930602158371</v>
      </c>
      <c r="D24" s="475">
        <f t="shared" si="0"/>
        <v>49.545930602158371</v>
      </c>
      <c r="E24" s="475">
        <f t="shared" si="0"/>
        <v>49.545930602158371</v>
      </c>
      <c r="F24" s="476">
        <f t="shared" si="0"/>
        <v>49.545930602158371</v>
      </c>
      <c r="G24" s="477">
        <v>406.17932305435556</v>
      </c>
      <c r="H24" s="475">
        <v>406.17932305435556</v>
      </c>
      <c r="I24" s="475">
        <v>406.17932305435556</v>
      </c>
      <c r="J24" s="476">
        <v>406.17932305435556</v>
      </c>
      <c r="K24" s="478">
        <f t="shared" si="2"/>
        <v>0.13043478260869557</v>
      </c>
      <c r="L24" s="438">
        <f t="shared" si="2"/>
        <v>0.13043478260869557</v>
      </c>
      <c r="M24" s="438">
        <f t="shared" si="2"/>
        <v>0.13043478260869557</v>
      </c>
      <c r="N24" s="479">
        <f t="shared" si="2"/>
        <v>0.13043478260869557</v>
      </c>
      <c r="O24" s="437">
        <f t="shared" si="2"/>
        <v>9.9907493061979435E-2</v>
      </c>
      <c r="P24" s="438">
        <f t="shared" si="2"/>
        <v>9.9907493061979435E-2</v>
      </c>
      <c r="Q24" s="438">
        <f t="shared" si="2"/>
        <v>9.9907493061979435E-2</v>
      </c>
      <c r="R24" s="439">
        <f t="shared" si="2"/>
        <v>9.9907493061979435E-2</v>
      </c>
      <c r="S24" s="480"/>
    </row>
    <row r="25" spans="2:19" ht="15" customHeight="1" x14ac:dyDescent="0.25">
      <c r="B25" s="389">
        <v>1968</v>
      </c>
      <c r="C25" s="474">
        <v>55.262768748561264</v>
      </c>
      <c r="D25" s="475">
        <f t="shared" si="0"/>
        <v>55.262768748561264</v>
      </c>
      <c r="E25" s="475">
        <f t="shared" si="0"/>
        <v>55.262768748561264</v>
      </c>
      <c r="F25" s="476">
        <f t="shared" si="0"/>
        <v>55.262768748561264</v>
      </c>
      <c r="G25" s="477">
        <v>433.53360792724095</v>
      </c>
      <c r="H25" s="475">
        <v>433.53360792724095</v>
      </c>
      <c r="I25" s="475">
        <v>433.53360792724095</v>
      </c>
      <c r="J25" s="476">
        <v>433.53360792724095</v>
      </c>
      <c r="K25" s="478">
        <f t="shared" si="2"/>
        <v>0.11538461538461542</v>
      </c>
      <c r="L25" s="438">
        <f t="shared" si="2"/>
        <v>0.11538461538461542</v>
      </c>
      <c r="M25" s="438">
        <f t="shared" si="2"/>
        <v>0.11538461538461542</v>
      </c>
      <c r="N25" s="479">
        <f t="shared" si="2"/>
        <v>0.11538461538461542</v>
      </c>
      <c r="O25" s="437">
        <f t="shared" si="2"/>
        <v>6.7345340642130047E-2</v>
      </c>
      <c r="P25" s="438">
        <f t="shared" si="2"/>
        <v>6.7345340642130047E-2</v>
      </c>
      <c r="Q25" s="438">
        <f t="shared" si="2"/>
        <v>6.7345340642130047E-2</v>
      </c>
      <c r="R25" s="439">
        <f t="shared" si="2"/>
        <v>6.7345340642130047E-2</v>
      </c>
      <c r="S25" s="480"/>
    </row>
    <row r="26" spans="2:19" ht="15" customHeight="1" x14ac:dyDescent="0.25">
      <c r="B26" s="389">
        <v>1969</v>
      </c>
      <c r="C26" s="474">
        <v>59.073994179496523</v>
      </c>
      <c r="D26" s="475">
        <f t="shared" si="0"/>
        <v>59.073994179496523</v>
      </c>
      <c r="E26" s="475">
        <f t="shared" si="0"/>
        <v>59.073994179496523</v>
      </c>
      <c r="F26" s="476">
        <f t="shared" si="0"/>
        <v>59.073994179496523</v>
      </c>
      <c r="G26" s="477">
        <v>435.46966423119659</v>
      </c>
      <c r="H26" s="475">
        <v>435.46966423119659</v>
      </c>
      <c r="I26" s="475">
        <v>435.46966423119659</v>
      </c>
      <c r="J26" s="476">
        <v>435.46966423119659</v>
      </c>
      <c r="K26" s="478">
        <f t="shared" si="2"/>
        <v>6.8965517241379226E-2</v>
      </c>
      <c r="L26" s="438">
        <f t="shared" si="2"/>
        <v>6.8965517241379226E-2</v>
      </c>
      <c r="M26" s="438">
        <f t="shared" si="2"/>
        <v>6.8965517241379226E-2</v>
      </c>
      <c r="N26" s="479">
        <f t="shared" si="2"/>
        <v>6.8965517241379226E-2</v>
      </c>
      <c r="O26" s="437">
        <f t="shared" si="2"/>
        <v>4.4657582908325111E-3</v>
      </c>
      <c r="P26" s="438">
        <f t="shared" si="2"/>
        <v>4.4657582908325111E-3</v>
      </c>
      <c r="Q26" s="438">
        <f t="shared" si="2"/>
        <v>4.4657582908325111E-3</v>
      </c>
      <c r="R26" s="439">
        <f t="shared" si="2"/>
        <v>4.4657582908325111E-3</v>
      </c>
      <c r="S26" s="480"/>
    </row>
    <row r="27" spans="2:19" ht="15" customHeight="1" x14ac:dyDescent="0.25">
      <c r="B27" s="389">
        <v>1970</v>
      </c>
      <c r="C27" s="474">
        <v>62.885219610431783</v>
      </c>
      <c r="D27" s="475">
        <f t="shared" si="0"/>
        <v>62.885219610431783</v>
      </c>
      <c r="E27" s="475">
        <f t="shared" si="0"/>
        <v>62.885219610431783</v>
      </c>
      <c r="F27" s="476">
        <f t="shared" si="0"/>
        <v>62.885219610431783</v>
      </c>
      <c r="G27" s="477">
        <v>440.54834269741644</v>
      </c>
      <c r="H27" s="475">
        <v>440.54834269741644</v>
      </c>
      <c r="I27" s="475">
        <v>440.54834269741644</v>
      </c>
      <c r="J27" s="476">
        <v>440.54834269741644</v>
      </c>
      <c r="K27" s="478">
        <f t="shared" si="2"/>
        <v>6.4516129032258007E-2</v>
      </c>
      <c r="L27" s="438">
        <f t="shared" si="2"/>
        <v>6.4516129032258007E-2</v>
      </c>
      <c r="M27" s="438">
        <f t="shared" si="2"/>
        <v>6.4516129032258007E-2</v>
      </c>
      <c r="N27" s="479">
        <f t="shared" si="2"/>
        <v>6.4516129032258007E-2</v>
      </c>
      <c r="O27" s="437">
        <f t="shared" si="2"/>
        <v>1.1662531017369693E-2</v>
      </c>
      <c r="P27" s="438">
        <f t="shared" si="2"/>
        <v>1.1662531017369693E-2</v>
      </c>
      <c r="Q27" s="438">
        <f t="shared" si="2"/>
        <v>1.1662531017369693E-2</v>
      </c>
      <c r="R27" s="439">
        <f t="shared" si="2"/>
        <v>1.1662531017369693E-2</v>
      </c>
      <c r="S27" s="480"/>
    </row>
    <row r="28" spans="2:19" ht="15" customHeight="1" x14ac:dyDescent="0.25">
      <c r="B28" s="389">
        <v>1971</v>
      </c>
      <c r="C28" s="474">
        <v>66.696445041367042</v>
      </c>
      <c r="D28" s="475">
        <f t="shared" si="0"/>
        <v>66.696445041367042</v>
      </c>
      <c r="E28" s="475">
        <f t="shared" si="0"/>
        <v>66.696445041367042</v>
      </c>
      <c r="F28" s="476">
        <f t="shared" si="0"/>
        <v>66.696445041367042</v>
      </c>
      <c r="G28" s="477">
        <v>442.20052046619134</v>
      </c>
      <c r="H28" s="475">
        <v>442.20052046619134</v>
      </c>
      <c r="I28" s="475">
        <v>442.20052046619134</v>
      </c>
      <c r="J28" s="476">
        <v>442.20052046619134</v>
      </c>
      <c r="K28" s="478">
        <f t="shared" si="2"/>
        <v>6.0606060606060552E-2</v>
      </c>
      <c r="L28" s="438">
        <f t="shared" si="2"/>
        <v>6.0606060606060552E-2</v>
      </c>
      <c r="M28" s="438">
        <f t="shared" si="2"/>
        <v>6.0606060606060552E-2</v>
      </c>
      <c r="N28" s="479">
        <f t="shared" si="2"/>
        <v>6.0606060606060552E-2</v>
      </c>
      <c r="O28" s="437">
        <f t="shared" si="2"/>
        <v>3.7502757555705202E-3</v>
      </c>
      <c r="P28" s="438">
        <f t="shared" si="2"/>
        <v>3.7502757555705202E-3</v>
      </c>
      <c r="Q28" s="438">
        <f t="shared" si="2"/>
        <v>3.7502757555705202E-3</v>
      </c>
      <c r="R28" s="439">
        <f t="shared" si="2"/>
        <v>3.7502757555705202E-3</v>
      </c>
      <c r="S28" s="480"/>
    </row>
    <row r="29" spans="2:19" ht="15" customHeight="1" x14ac:dyDescent="0.25">
      <c r="B29" s="389">
        <v>1972</v>
      </c>
      <c r="C29" s="474">
        <v>120.12982558307938</v>
      </c>
      <c r="D29" s="475">
        <f t="shared" si="0"/>
        <v>120.12982558307938</v>
      </c>
      <c r="E29" s="475">
        <f t="shared" si="0"/>
        <v>120.12982558307938</v>
      </c>
      <c r="F29" s="476">
        <f t="shared" si="0"/>
        <v>120.12982558307938</v>
      </c>
      <c r="G29" s="477">
        <v>750.28715255067914</v>
      </c>
      <c r="H29" s="475">
        <v>750.28715255067914</v>
      </c>
      <c r="I29" s="475">
        <v>750.28715255067914</v>
      </c>
      <c r="J29" s="476">
        <v>750.28715255067914</v>
      </c>
      <c r="K29" s="478">
        <f t="shared" si="2"/>
        <v>0.80114285714285716</v>
      </c>
      <c r="L29" s="438">
        <f t="shared" si="2"/>
        <v>0.80114285714285716</v>
      </c>
      <c r="M29" s="438">
        <f t="shared" si="2"/>
        <v>0.80114285714285716</v>
      </c>
      <c r="N29" s="479">
        <f t="shared" si="2"/>
        <v>0.80114285714285716</v>
      </c>
      <c r="O29" s="437">
        <f t="shared" si="2"/>
        <v>0.6967125044531528</v>
      </c>
      <c r="P29" s="438">
        <f t="shared" si="2"/>
        <v>0.6967125044531528</v>
      </c>
      <c r="Q29" s="438">
        <f t="shared" si="2"/>
        <v>0.6967125044531528</v>
      </c>
      <c r="R29" s="439">
        <f t="shared" si="2"/>
        <v>0.6967125044531528</v>
      </c>
      <c r="S29" s="480"/>
    </row>
    <row r="30" spans="2:19" ht="15" customHeight="1" x14ac:dyDescent="0.25">
      <c r="B30" s="389">
        <v>1973</v>
      </c>
      <c r="C30" s="474">
        <v>138.72860568604344</v>
      </c>
      <c r="D30" s="475">
        <f t="shared" si="0"/>
        <v>138.72860568604344</v>
      </c>
      <c r="E30" s="475">
        <f t="shared" si="0"/>
        <v>138.72860568604344</v>
      </c>
      <c r="F30" s="476">
        <f t="shared" si="0"/>
        <v>138.72860568604344</v>
      </c>
      <c r="G30" s="477">
        <v>793.25523502441968</v>
      </c>
      <c r="H30" s="475">
        <v>793.25523502441968</v>
      </c>
      <c r="I30" s="475">
        <v>793.25523502441968</v>
      </c>
      <c r="J30" s="476">
        <v>793.25523502441968</v>
      </c>
      <c r="K30" s="478">
        <f t="shared" si="2"/>
        <v>0.15482233502538056</v>
      </c>
      <c r="L30" s="438">
        <f t="shared" si="2"/>
        <v>0.15482233502538056</v>
      </c>
      <c r="M30" s="438">
        <f t="shared" si="2"/>
        <v>0.15482233502538056</v>
      </c>
      <c r="N30" s="479">
        <f t="shared" si="2"/>
        <v>0.15482233502538056</v>
      </c>
      <c r="O30" s="437">
        <f t="shared" si="2"/>
        <v>5.7268850103145308E-2</v>
      </c>
      <c r="P30" s="438">
        <f t="shared" si="2"/>
        <v>5.7268850103145308E-2</v>
      </c>
      <c r="Q30" s="438">
        <f t="shared" si="2"/>
        <v>5.7268850103145308E-2</v>
      </c>
      <c r="R30" s="439">
        <f t="shared" si="2"/>
        <v>5.7268850103145308E-2</v>
      </c>
      <c r="S30" s="480"/>
    </row>
    <row r="31" spans="2:19" ht="15" customHeight="1" x14ac:dyDescent="0.25">
      <c r="B31" s="389">
        <v>1974</v>
      </c>
      <c r="C31" s="474">
        <v>165.55963271982768</v>
      </c>
      <c r="D31" s="475">
        <f t="shared" si="0"/>
        <v>165.55963271982768</v>
      </c>
      <c r="E31" s="475">
        <f t="shared" si="0"/>
        <v>165.55963271982768</v>
      </c>
      <c r="F31" s="476">
        <f t="shared" si="0"/>
        <v>165.55963271982768</v>
      </c>
      <c r="G31" s="477">
        <v>832.20090345571191</v>
      </c>
      <c r="H31" s="475">
        <v>832.20090345571191</v>
      </c>
      <c r="I31" s="475">
        <v>832.20090345571191</v>
      </c>
      <c r="J31" s="476">
        <v>832.20090345571191</v>
      </c>
      <c r="K31" s="478">
        <f t="shared" si="2"/>
        <v>0.19340659340659361</v>
      </c>
      <c r="L31" s="438">
        <f t="shared" si="2"/>
        <v>0.19340659340659361</v>
      </c>
      <c r="M31" s="438">
        <f t="shared" si="2"/>
        <v>0.19340659340659361</v>
      </c>
      <c r="N31" s="479">
        <f t="shared" si="2"/>
        <v>0.19340659340659361</v>
      </c>
      <c r="O31" s="437">
        <f t="shared" si="2"/>
        <v>4.9096011865706002E-2</v>
      </c>
      <c r="P31" s="438">
        <f t="shared" si="2"/>
        <v>4.9096011865706002E-2</v>
      </c>
      <c r="Q31" s="438">
        <f t="shared" si="2"/>
        <v>4.9096011865706002E-2</v>
      </c>
      <c r="R31" s="439">
        <f t="shared" si="2"/>
        <v>4.9096011865706002E-2</v>
      </c>
      <c r="S31" s="480"/>
    </row>
    <row r="32" spans="2:19" ht="15" customHeight="1" x14ac:dyDescent="0.25">
      <c r="B32" s="389">
        <v>1975</v>
      </c>
      <c r="C32" s="474">
        <v>205.80617327050402</v>
      </c>
      <c r="D32" s="475">
        <f t="shared" si="0"/>
        <v>205.80617327050402</v>
      </c>
      <c r="E32" s="475">
        <f t="shared" si="0"/>
        <v>205.80617327050402</v>
      </c>
      <c r="F32" s="476">
        <f t="shared" si="0"/>
        <v>205.80617327050402</v>
      </c>
      <c r="G32" s="477">
        <v>925.80433041037691</v>
      </c>
      <c r="H32" s="475">
        <v>925.80433041037691</v>
      </c>
      <c r="I32" s="475">
        <v>925.80433041037691</v>
      </c>
      <c r="J32" s="476">
        <v>925.80433041037691</v>
      </c>
      <c r="K32" s="478">
        <f t="shared" si="2"/>
        <v>0.24309392265193375</v>
      </c>
      <c r="L32" s="438">
        <f t="shared" si="2"/>
        <v>0.24309392265193375</v>
      </c>
      <c r="M32" s="438">
        <f t="shared" si="2"/>
        <v>0.24309392265193375</v>
      </c>
      <c r="N32" s="479">
        <f t="shared" si="2"/>
        <v>0.24309392265193375</v>
      </c>
      <c r="O32" s="437">
        <f t="shared" si="2"/>
        <v>0.11247695906838961</v>
      </c>
      <c r="P32" s="438">
        <f t="shared" si="2"/>
        <v>0.11247695906838961</v>
      </c>
      <c r="Q32" s="438">
        <f t="shared" si="2"/>
        <v>0.11247695906838961</v>
      </c>
      <c r="R32" s="439">
        <f t="shared" si="2"/>
        <v>0.11247695906838961</v>
      </c>
      <c r="S32" s="480"/>
    </row>
    <row r="33" spans="2:19" ht="15" customHeight="1" x14ac:dyDescent="0.25">
      <c r="B33" s="389">
        <v>1976</v>
      </c>
      <c r="C33" s="474">
        <v>240.56454920063359</v>
      </c>
      <c r="D33" s="475">
        <f t="shared" si="0"/>
        <v>240.56454920063359</v>
      </c>
      <c r="E33" s="475">
        <f t="shared" si="0"/>
        <v>240.56454920063359</v>
      </c>
      <c r="F33" s="476">
        <f t="shared" si="0"/>
        <v>240.56454920063359</v>
      </c>
      <c r="G33" s="477">
        <v>986.88601715476943</v>
      </c>
      <c r="H33" s="475">
        <v>986.88601715476943</v>
      </c>
      <c r="I33" s="475">
        <v>986.88601715476943</v>
      </c>
      <c r="J33" s="476">
        <v>986.88601715476943</v>
      </c>
      <c r="K33" s="478">
        <f t="shared" si="2"/>
        <v>0.16888888888888887</v>
      </c>
      <c r="L33" s="438">
        <f t="shared" si="2"/>
        <v>0.16888888888888887</v>
      </c>
      <c r="M33" s="438">
        <f t="shared" si="2"/>
        <v>0.16888888888888887</v>
      </c>
      <c r="N33" s="479">
        <f t="shared" si="2"/>
        <v>0.16888888888888887</v>
      </c>
      <c r="O33" s="437">
        <f t="shared" si="2"/>
        <v>6.5976885976885891E-2</v>
      </c>
      <c r="P33" s="438">
        <f t="shared" si="2"/>
        <v>6.5976885976885891E-2</v>
      </c>
      <c r="Q33" s="438">
        <f t="shared" si="2"/>
        <v>6.5976885976885891E-2</v>
      </c>
      <c r="R33" s="439">
        <f t="shared" si="2"/>
        <v>6.5976885976885891E-2</v>
      </c>
      <c r="S33" s="480"/>
    </row>
    <row r="34" spans="2:19" ht="15" customHeight="1" x14ac:dyDescent="0.25">
      <c r="B34" s="389">
        <v>1977</v>
      </c>
      <c r="C34" s="474">
        <v>272.57884282048974</v>
      </c>
      <c r="D34" s="475">
        <f t="shared" si="0"/>
        <v>272.57884282048974</v>
      </c>
      <c r="E34" s="475">
        <f t="shared" si="0"/>
        <v>272.57884282048974</v>
      </c>
      <c r="F34" s="476">
        <f t="shared" si="0"/>
        <v>272.57884282048974</v>
      </c>
      <c r="G34" s="477">
        <v>1022.732152575156</v>
      </c>
      <c r="H34" s="475">
        <v>1022.732152575156</v>
      </c>
      <c r="I34" s="475">
        <v>1022.732152575156</v>
      </c>
      <c r="J34" s="476">
        <v>1022.732152575156</v>
      </c>
      <c r="K34" s="478">
        <f t="shared" si="2"/>
        <v>0.13307984790874516</v>
      </c>
      <c r="L34" s="438">
        <f t="shared" si="2"/>
        <v>0.13307984790874516</v>
      </c>
      <c r="M34" s="438">
        <f t="shared" si="2"/>
        <v>0.13307984790874516</v>
      </c>
      <c r="N34" s="479">
        <f t="shared" si="2"/>
        <v>0.13307984790874516</v>
      </c>
      <c r="O34" s="437">
        <f t="shared" si="2"/>
        <v>3.6322467637886158E-2</v>
      </c>
      <c r="P34" s="438">
        <f t="shared" si="2"/>
        <v>3.6322467637886158E-2</v>
      </c>
      <c r="Q34" s="438">
        <f t="shared" si="2"/>
        <v>3.6322467637886158E-2</v>
      </c>
      <c r="R34" s="439">
        <f t="shared" si="2"/>
        <v>3.6322467637886158E-2</v>
      </c>
      <c r="S34" s="480"/>
    </row>
    <row r="35" spans="2:19" ht="15" customHeight="1" x14ac:dyDescent="0.25">
      <c r="B35" s="389">
        <v>1978</v>
      </c>
      <c r="C35" s="474">
        <v>306.72742268166968</v>
      </c>
      <c r="D35" s="475">
        <f t="shared" si="0"/>
        <v>306.72742268166968</v>
      </c>
      <c r="E35" s="475">
        <f t="shared" si="0"/>
        <v>306.72742268166968</v>
      </c>
      <c r="F35" s="476">
        <f t="shared" si="0"/>
        <v>306.72742268166968</v>
      </c>
      <c r="G35" s="477">
        <v>1055.2181732228594</v>
      </c>
      <c r="H35" s="475">
        <v>1055.2181732228594</v>
      </c>
      <c r="I35" s="475">
        <v>1055.2181732228594</v>
      </c>
      <c r="J35" s="476">
        <v>1055.2181732228594</v>
      </c>
      <c r="K35" s="478">
        <f t="shared" si="2"/>
        <v>0.12527964205816566</v>
      </c>
      <c r="L35" s="438">
        <f t="shared" si="2"/>
        <v>0.12527964205816566</v>
      </c>
      <c r="M35" s="438">
        <f t="shared" si="2"/>
        <v>0.12527964205816566</v>
      </c>
      <c r="N35" s="479">
        <f t="shared" si="2"/>
        <v>0.12527964205816566</v>
      </c>
      <c r="O35" s="437">
        <f t="shared" si="2"/>
        <v>3.1763957518990971E-2</v>
      </c>
      <c r="P35" s="438">
        <f t="shared" si="2"/>
        <v>3.1763957518990971E-2</v>
      </c>
      <c r="Q35" s="438">
        <f t="shared" si="2"/>
        <v>3.1763957518990971E-2</v>
      </c>
      <c r="R35" s="439">
        <f t="shared" si="2"/>
        <v>3.1763957518990971E-2</v>
      </c>
      <c r="S35" s="480"/>
    </row>
    <row r="36" spans="2:19" ht="15" customHeight="1" x14ac:dyDescent="0.25">
      <c r="B36" s="389">
        <v>1979</v>
      </c>
      <c r="C36" s="474">
        <v>344.83967699102226</v>
      </c>
      <c r="D36" s="475">
        <f t="shared" si="0"/>
        <v>344.83967699102226</v>
      </c>
      <c r="E36" s="475">
        <f t="shared" si="0"/>
        <v>344.83967699102226</v>
      </c>
      <c r="F36" s="476">
        <f t="shared" si="0"/>
        <v>344.83967699102226</v>
      </c>
      <c r="G36" s="477">
        <v>1070.8629522926412</v>
      </c>
      <c r="H36" s="475">
        <v>1070.8629522926412</v>
      </c>
      <c r="I36" s="475">
        <v>1070.8629522926412</v>
      </c>
      <c r="J36" s="476">
        <v>1070.8629522926412</v>
      </c>
      <c r="K36" s="478">
        <f t="shared" si="2"/>
        <v>0.12425447316103377</v>
      </c>
      <c r="L36" s="438">
        <f t="shared" si="2"/>
        <v>0.12425447316103377</v>
      </c>
      <c r="M36" s="438">
        <f t="shared" si="2"/>
        <v>0.12425447316103377</v>
      </c>
      <c r="N36" s="479">
        <f t="shared" si="2"/>
        <v>0.12425447316103377</v>
      </c>
      <c r="O36" s="437">
        <f t="shared" si="2"/>
        <v>1.482610844542176E-2</v>
      </c>
      <c r="P36" s="438">
        <f t="shared" si="2"/>
        <v>1.482610844542176E-2</v>
      </c>
      <c r="Q36" s="438">
        <f t="shared" si="2"/>
        <v>1.482610844542176E-2</v>
      </c>
      <c r="R36" s="439">
        <f t="shared" si="2"/>
        <v>1.482610844542176E-2</v>
      </c>
      <c r="S36" s="480"/>
    </row>
    <row r="37" spans="2:19" ht="15" customHeight="1" x14ac:dyDescent="0.25">
      <c r="B37" s="389">
        <v>1980</v>
      </c>
      <c r="C37" s="474">
        <v>394.23315857594326</v>
      </c>
      <c r="D37" s="475">
        <f t="shared" si="0"/>
        <v>394.23315857594326</v>
      </c>
      <c r="E37" s="475">
        <f t="shared" si="0"/>
        <v>394.23315857594326</v>
      </c>
      <c r="F37" s="476">
        <f t="shared" si="0"/>
        <v>394.23315857594326</v>
      </c>
      <c r="G37" s="477">
        <v>1078.1948628484301</v>
      </c>
      <c r="H37" s="475">
        <v>1078.1948628484301</v>
      </c>
      <c r="I37" s="475">
        <v>1078.1948628484301</v>
      </c>
      <c r="J37" s="476">
        <v>1078.1948628484301</v>
      </c>
      <c r="K37" s="478">
        <f t="shared" si="2"/>
        <v>0.14323607427055718</v>
      </c>
      <c r="L37" s="438">
        <f t="shared" si="2"/>
        <v>0.14323607427055718</v>
      </c>
      <c r="M37" s="438">
        <f t="shared" si="2"/>
        <v>0.14323607427055718</v>
      </c>
      <c r="N37" s="479">
        <f t="shared" si="2"/>
        <v>0.14323607427055718</v>
      </c>
      <c r="O37" s="437">
        <f t="shared" si="2"/>
        <v>6.8467309846622637E-3</v>
      </c>
      <c r="P37" s="438">
        <f t="shared" si="2"/>
        <v>6.8467309846622637E-3</v>
      </c>
      <c r="Q37" s="438">
        <f t="shared" si="2"/>
        <v>6.8467309846622637E-3</v>
      </c>
      <c r="R37" s="439">
        <f t="shared" si="2"/>
        <v>6.8467309846622637E-3</v>
      </c>
      <c r="S37" s="480"/>
    </row>
    <row r="38" spans="2:19" ht="15" customHeight="1" x14ac:dyDescent="0.25">
      <c r="B38" s="389">
        <v>1981</v>
      </c>
      <c r="C38" s="474">
        <v>450.94419298825989</v>
      </c>
      <c r="D38" s="475">
        <f t="shared" si="0"/>
        <v>450.94419298825989</v>
      </c>
      <c r="E38" s="475">
        <f t="shared" si="0"/>
        <v>450.94419298825989</v>
      </c>
      <c r="F38" s="476">
        <f t="shared" si="0"/>
        <v>450.94419298825989</v>
      </c>
      <c r="G38" s="477">
        <v>1087.5202035041857</v>
      </c>
      <c r="H38" s="475">
        <v>1087.5202035041857</v>
      </c>
      <c r="I38" s="475">
        <v>1087.5202035041857</v>
      </c>
      <c r="J38" s="476">
        <v>1087.5202035041857</v>
      </c>
      <c r="K38" s="478">
        <f t="shared" si="2"/>
        <v>0.14385150812064951</v>
      </c>
      <c r="L38" s="438">
        <f t="shared" si="2"/>
        <v>0.14385150812064951</v>
      </c>
      <c r="M38" s="438">
        <f t="shared" si="2"/>
        <v>0.14385150812064951</v>
      </c>
      <c r="N38" s="479">
        <f t="shared" si="2"/>
        <v>0.14385150812064951</v>
      </c>
      <c r="O38" s="437">
        <f t="shared" si="2"/>
        <v>8.6490308728790488E-3</v>
      </c>
      <c r="P38" s="438">
        <f t="shared" si="2"/>
        <v>8.6490308728790488E-3</v>
      </c>
      <c r="Q38" s="438">
        <f t="shared" si="2"/>
        <v>8.6490308728790488E-3</v>
      </c>
      <c r="R38" s="439">
        <f t="shared" si="2"/>
        <v>8.6490308728790488E-3</v>
      </c>
      <c r="S38" s="480"/>
    </row>
    <row r="39" spans="2:19" ht="15" customHeight="1" x14ac:dyDescent="0.25">
      <c r="B39" s="389">
        <v>1982</v>
      </c>
      <c r="C39" s="474">
        <v>553.3899325717997</v>
      </c>
      <c r="D39" s="475">
        <f t="shared" si="0"/>
        <v>553.3899325717997</v>
      </c>
      <c r="E39" s="475">
        <f t="shared" si="0"/>
        <v>553.3899325717997</v>
      </c>
      <c r="F39" s="476">
        <f t="shared" si="0"/>
        <v>553.3899325717997</v>
      </c>
      <c r="G39" s="477">
        <v>1193.5113766424734</v>
      </c>
      <c r="H39" s="475">
        <v>1193.5113766424734</v>
      </c>
      <c r="I39" s="475">
        <v>1193.5113766424734</v>
      </c>
      <c r="J39" s="476">
        <v>1193.5113766424734</v>
      </c>
      <c r="K39" s="478">
        <f t="shared" si="2"/>
        <v>0.22718052738336714</v>
      </c>
      <c r="L39" s="438">
        <f t="shared" si="2"/>
        <v>0.22718052738336714</v>
      </c>
      <c r="M39" s="438">
        <f t="shared" si="2"/>
        <v>0.22718052738336714</v>
      </c>
      <c r="N39" s="479">
        <f t="shared" si="2"/>
        <v>0.22718052738336714</v>
      </c>
      <c r="O39" s="437">
        <f t="shared" si="2"/>
        <v>9.7461337082993982E-2</v>
      </c>
      <c r="P39" s="438">
        <f t="shared" si="2"/>
        <v>9.7461337082993982E-2</v>
      </c>
      <c r="Q39" s="438">
        <f t="shared" si="2"/>
        <v>9.7461337082993982E-2</v>
      </c>
      <c r="R39" s="439">
        <f t="shared" si="2"/>
        <v>9.7461337082993982E-2</v>
      </c>
      <c r="S39" s="480"/>
    </row>
    <row r="40" spans="2:19" ht="15" customHeight="1" x14ac:dyDescent="0.25">
      <c r="B40" s="389">
        <v>1983</v>
      </c>
      <c r="C40" s="474">
        <v>618.63811194941138</v>
      </c>
      <c r="D40" s="475">
        <f t="shared" si="0"/>
        <v>618.63811194941138</v>
      </c>
      <c r="E40" s="475">
        <f t="shared" si="0"/>
        <v>618.63811194941138</v>
      </c>
      <c r="F40" s="476">
        <f t="shared" si="0"/>
        <v>618.63811194941138</v>
      </c>
      <c r="G40" s="477">
        <v>1217.1085242555387</v>
      </c>
      <c r="H40" s="475">
        <v>1217.1085242555387</v>
      </c>
      <c r="I40" s="475">
        <v>1217.1085242555387</v>
      </c>
      <c r="J40" s="476">
        <v>1217.1085242555387</v>
      </c>
      <c r="K40" s="478">
        <f t="shared" si="2"/>
        <v>0.11790633608815426</v>
      </c>
      <c r="L40" s="438">
        <f t="shared" si="2"/>
        <v>0.11790633608815426</v>
      </c>
      <c r="M40" s="438">
        <f t="shared" si="2"/>
        <v>0.11790633608815426</v>
      </c>
      <c r="N40" s="479">
        <f t="shared" si="2"/>
        <v>0.11790633608815426</v>
      </c>
      <c r="O40" s="437">
        <f t="shared" si="2"/>
        <v>1.9771196215529807E-2</v>
      </c>
      <c r="P40" s="438">
        <f t="shared" si="2"/>
        <v>1.9771196215529807E-2</v>
      </c>
      <c r="Q40" s="438">
        <f t="shared" si="2"/>
        <v>1.9771196215529807E-2</v>
      </c>
      <c r="R40" s="439">
        <f t="shared" si="2"/>
        <v>1.9771196215529807E-2</v>
      </c>
      <c r="S40" s="480"/>
    </row>
    <row r="41" spans="2:19" ht="15" customHeight="1" x14ac:dyDescent="0.25">
      <c r="B41" s="389">
        <v>1984</v>
      </c>
      <c r="C41" s="474">
        <v>694.55772253364171</v>
      </c>
      <c r="D41" s="475">
        <f t="shared" si="0"/>
        <v>694.55772253364171</v>
      </c>
      <c r="E41" s="475">
        <f t="shared" si="0"/>
        <v>694.55772253364171</v>
      </c>
      <c r="F41" s="476">
        <f t="shared" si="0"/>
        <v>694.55772253364171</v>
      </c>
      <c r="G41" s="477">
        <v>1272.2763328473256</v>
      </c>
      <c r="H41" s="475">
        <v>1272.2763328473256</v>
      </c>
      <c r="I41" s="475">
        <v>1272.2763328473256</v>
      </c>
      <c r="J41" s="476">
        <v>1272.2763328473256</v>
      </c>
      <c r="K41" s="478">
        <f t="shared" si="2"/>
        <v>0.12272055199605703</v>
      </c>
      <c r="L41" s="438">
        <f t="shared" si="2"/>
        <v>0.12272055199605703</v>
      </c>
      <c r="M41" s="438">
        <f t="shared" si="2"/>
        <v>0.12272055199605703</v>
      </c>
      <c r="N41" s="479">
        <f t="shared" si="2"/>
        <v>0.12272055199605703</v>
      </c>
      <c r="O41" s="437">
        <f t="shared" si="2"/>
        <v>4.5326942908013201E-2</v>
      </c>
      <c r="P41" s="438">
        <f t="shared" si="2"/>
        <v>4.5326942908013201E-2</v>
      </c>
      <c r="Q41" s="438">
        <f t="shared" si="2"/>
        <v>4.5326942908013201E-2</v>
      </c>
      <c r="R41" s="439">
        <f t="shared" si="2"/>
        <v>4.5326942908013201E-2</v>
      </c>
      <c r="S41" s="480"/>
    </row>
    <row r="42" spans="2:19" ht="15" customHeight="1" x14ac:dyDescent="0.25">
      <c r="B42" s="389">
        <v>1985</v>
      </c>
      <c r="C42" s="474">
        <v>742.73161198066339</v>
      </c>
      <c r="D42" s="475">
        <f t="shared" si="0"/>
        <v>742.73161198066339</v>
      </c>
      <c r="E42" s="475">
        <f t="shared" si="0"/>
        <v>742.73161198066339</v>
      </c>
      <c r="F42" s="476">
        <f t="shared" si="0"/>
        <v>742.73161198066339</v>
      </c>
      <c r="G42" s="477">
        <v>1285.7586467638305</v>
      </c>
      <c r="H42" s="475">
        <v>1285.7586467638305</v>
      </c>
      <c r="I42" s="475">
        <v>1285.7586467638305</v>
      </c>
      <c r="J42" s="476">
        <v>1285.7586467638305</v>
      </c>
      <c r="K42" s="478">
        <f t="shared" si="2"/>
        <v>6.9359086918349355E-2</v>
      </c>
      <c r="L42" s="438">
        <f t="shared" si="2"/>
        <v>6.9359086918349355E-2</v>
      </c>
      <c r="M42" s="438">
        <f t="shared" si="2"/>
        <v>6.9359086918349355E-2</v>
      </c>
      <c r="N42" s="479">
        <f t="shared" si="2"/>
        <v>6.9359086918349355E-2</v>
      </c>
      <c r="O42" s="437">
        <f t="shared" si="2"/>
        <v>1.059700127120311E-2</v>
      </c>
      <c r="P42" s="438">
        <f t="shared" si="2"/>
        <v>1.059700127120311E-2</v>
      </c>
      <c r="Q42" s="438">
        <f t="shared" si="2"/>
        <v>1.059700127120311E-2</v>
      </c>
      <c r="R42" s="439">
        <f t="shared" si="2"/>
        <v>1.059700127120311E-2</v>
      </c>
      <c r="S42" s="480"/>
    </row>
    <row r="43" spans="2:19" ht="15" customHeight="1" x14ac:dyDescent="0.25">
      <c r="B43" s="389">
        <v>1986</v>
      </c>
      <c r="C43" s="474">
        <v>793.95448177243327</v>
      </c>
      <c r="D43" s="475">
        <f t="shared" si="0"/>
        <v>793.95448177243327</v>
      </c>
      <c r="E43" s="475">
        <f t="shared" si="0"/>
        <v>793.95448177243327</v>
      </c>
      <c r="F43" s="476">
        <f t="shared" si="0"/>
        <v>793.95448177243327</v>
      </c>
      <c r="G43" s="477">
        <v>1338.8042414402016</v>
      </c>
      <c r="H43" s="475">
        <v>1338.8042414402016</v>
      </c>
      <c r="I43" s="475">
        <v>1338.8042414402016</v>
      </c>
      <c r="J43" s="476">
        <v>1338.8042414402016</v>
      </c>
      <c r="K43" s="478">
        <f t="shared" si="2"/>
        <v>6.8965517241379226E-2</v>
      </c>
      <c r="L43" s="438">
        <f t="shared" si="2"/>
        <v>6.8965517241379226E-2</v>
      </c>
      <c r="M43" s="438">
        <f t="shared" si="2"/>
        <v>6.8965517241379226E-2</v>
      </c>
      <c r="N43" s="479">
        <f t="shared" si="2"/>
        <v>6.8965517241379226E-2</v>
      </c>
      <c r="O43" s="437">
        <f t="shared" si="2"/>
        <v>4.125626128191584E-2</v>
      </c>
      <c r="P43" s="438">
        <f t="shared" si="2"/>
        <v>4.125626128191584E-2</v>
      </c>
      <c r="Q43" s="438">
        <f t="shared" si="2"/>
        <v>4.125626128191584E-2</v>
      </c>
      <c r="R43" s="439">
        <f t="shared" si="2"/>
        <v>4.125626128191584E-2</v>
      </c>
      <c r="S43" s="480"/>
    </row>
    <row r="44" spans="2:19" ht="15" customHeight="1" x14ac:dyDescent="0.25">
      <c r="B44" s="389">
        <v>1987</v>
      </c>
      <c r="C44" s="474">
        <v>820.78550880621754</v>
      </c>
      <c r="D44" s="475">
        <f t="shared" si="0"/>
        <v>820.78550880621754</v>
      </c>
      <c r="E44" s="475">
        <f t="shared" si="0"/>
        <v>820.78550880621754</v>
      </c>
      <c r="F44" s="476">
        <f t="shared" si="0"/>
        <v>820.78550880621754</v>
      </c>
      <c r="G44" s="477">
        <v>1341.8128634498512</v>
      </c>
      <c r="H44" s="475">
        <v>1341.8128634498512</v>
      </c>
      <c r="I44" s="475">
        <v>1341.8128634498512</v>
      </c>
      <c r="J44" s="476">
        <v>1341.8128634498512</v>
      </c>
      <c r="K44" s="478">
        <f t="shared" si="2"/>
        <v>3.3794162826420893E-2</v>
      </c>
      <c r="L44" s="438">
        <f t="shared" si="2"/>
        <v>3.3794162826420893E-2</v>
      </c>
      <c r="M44" s="438">
        <f t="shared" si="2"/>
        <v>3.3794162826420893E-2</v>
      </c>
      <c r="N44" s="479">
        <f t="shared" si="2"/>
        <v>3.3794162826420893E-2</v>
      </c>
      <c r="O44" s="437">
        <f t="shared" si="2"/>
        <v>2.2472456513979999E-3</v>
      </c>
      <c r="P44" s="438">
        <f t="shared" si="2"/>
        <v>2.2472456513979999E-3</v>
      </c>
      <c r="Q44" s="438">
        <f t="shared" si="2"/>
        <v>2.2472456513979999E-3</v>
      </c>
      <c r="R44" s="439">
        <f t="shared" si="2"/>
        <v>2.2472456513979999E-3</v>
      </c>
      <c r="S44" s="480"/>
    </row>
    <row r="45" spans="2:19" ht="15" customHeight="1" x14ac:dyDescent="0.25">
      <c r="B45" s="389">
        <v>1988</v>
      </c>
      <c r="C45" s="474">
        <v>848.83612797790101</v>
      </c>
      <c r="D45" s="475">
        <f t="shared" si="0"/>
        <v>848.83612797790101</v>
      </c>
      <c r="E45" s="475">
        <f t="shared" si="0"/>
        <v>848.83612797790101</v>
      </c>
      <c r="F45" s="476">
        <f t="shared" si="0"/>
        <v>848.83612797790101</v>
      </c>
      <c r="G45" s="477">
        <v>1351.2856078313384</v>
      </c>
      <c r="H45" s="475">
        <v>1351.2856078313384</v>
      </c>
      <c r="I45" s="475">
        <v>1351.2856078313384</v>
      </c>
      <c r="J45" s="476">
        <v>1351.2856078313384</v>
      </c>
      <c r="K45" s="478">
        <f t="shared" si="2"/>
        <v>3.4175334323922613E-2</v>
      </c>
      <c r="L45" s="438">
        <f t="shared" si="2"/>
        <v>3.4175334323922613E-2</v>
      </c>
      <c r="M45" s="438">
        <f t="shared" si="2"/>
        <v>3.4175334323922613E-2</v>
      </c>
      <c r="N45" s="479">
        <f t="shared" si="2"/>
        <v>3.4175334323922613E-2</v>
      </c>
      <c r="O45" s="437">
        <f t="shared" si="2"/>
        <v>7.059661327983191E-3</v>
      </c>
      <c r="P45" s="438">
        <f t="shared" si="2"/>
        <v>7.059661327983191E-3</v>
      </c>
      <c r="Q45" s="438">
        <f t="shared" si="2"/>
        <v>7.059661327983191E-3</v>
      </c>
      <c r="R45" s="439">
        <f t="shared" si="2"/>
        <v>7.059661327983191E-3</v>
      </c>
      <c r="S45" s="480"/>
    </row>
    <row r="46" spans="2:19" ht="15" customHeight="1" x14ac:dyDescent="0.25">
      <c r="B46" s="389">
        <v>1989</v>
      </c>
      <c r="C46" s="474">
        <v>876.88674714958449</v>
      </c>
      <c r="D46" s="475">
        <f t="shared" si="0"/>
        <v>876.88674714958449</v>
      </c>
      <c r="E46" s="475">
        <f t="shared" si="0"/>
        <v>876.88674714958449</v>
      </c>
      <c r="F46" s="476">
        <f t="shared" si="0"/>
        <v>876.88674714958449</v>
      </c>
      <c r="G46" s="477">
        <v>1347.3391768319843</v>
      </c>
      <c r="H46" s="475">
        <v>1347.3391768319843</v>
      </c>
      <c r="I46" s="475">
        <v>1347.3391768319843</v>
      </c>
      <c r="J46" s="476">
        <v>1347.3391768319843</v>
      </c>
      <c r="K46" s="478">
        <f t="shared" si="2"/>
        <v>3.3045977011494143E-2</v>
      </c>
      <c r="L46" s="438">
        <f t="shared" si="2"/>
        <v>3.3045977011494143E-2</v>
      </c>
      <c r="M46" s="438">
        <f t="shared" si="2"/>
        <v>3.3045977011494143E-2</v>
      </c>
      <c r="N46" s="479">
        <f t="shared" si="2"/>
        <v>3.3045977011494143E-2</v>
      </c>
      <c r="O46" s="437">
        <f t="shared" si="2"/>
        <v>-2.9205010224949701E-3</v>
      </c>
      <c r="P46" s="438">
        <f t="shared" si="2"/>
        <v>-2.9205010224949701E-3</v>
      </c>
      <c r="Q46" s="438">
        <f t="shared" si="2"/>
        <v>-2.9205010224949701E-3</v>
      </c>
      <c r="R46" s="439">
        <f t="shared" si="2"/>
        <v>-2.9205010224949701E-3</v>
      </c>
      <c r="S46" s="480"/>
    </row>
    <row r="47" spans="2:19" ht="15" customHeight="1" x14ac:dyDescent="0.25">
      <c r="B47" s="389">
        <v>1990</v>
      </c>
      <c r="C47" s="474">
        <v>911.95002111418887</v>
      </c>
      <c r="D47" s="475">
        <f t="shared" si="0"/>
        <v>911.95002111418887</v>
      </c>
      <c r="E47" s="475">
        <f t="shared" si="0"/>
        <v>911.95002111418887</v>
      </c>
      <c r="F47" s="476">
        <f t="shared" si="0"/>
        <v>911.95002111418887</v>
      </c>
      <c r="G47" s="477">
        <v>1355.4770491872321</v>
      </c>
      <c r="H47" s="475">
        <v>1355.4770491872321</v>
      </c>
      <c r="I47" s="475">
        <v>1355.4770491872321</v>
      </c>
      <c r="J47" s="476">
        <v>1355.4770491872321</v>
      </c>
      <c r="K47" s="478">
        <f t="shared" si="2"/>
        <v>3.9986091794158574E-2</v>
      </c>
      <c r="L47" s="438">
        <f t="shared" si="2"/>
        <v>3.9986091794158574E-2</v>
      </c>
      <c r="M47" s="438">
        <f t="shared" si="2"/>
        <v>3.9986091794158574E-2</v>
      </c>
      <c r="N47" s="479">
        <f t="shared" si="2"/>
        <v>3.9986091794158574E-2</v>
      </c>
      <c r="O47" s="437">
        <f t="shared" si="2"/>
        <v>6.0399582341117419E-3</v>
      </c>
      <c r="P47" s="438">
        <f t="shared" si="2"/>
        <v>6.0399582341117419E-3</v>
      </c>
      <c r="Q47" s="438">
        <f t="shared" si="2"/>
        <v>6.0399582341117419E-3</v>
      </c>
      <c r="R47" s="439">
        <f t="shared" si="2"/>
        <v>6.0399582341117419E-3</v>
      </c>
      <c r="S47" s="480"/>
    </row>
    <row r="48" spans="2:19" ht="15" customHeight="1" x14ac:dyDescent="0.25">
      <c r="B48" s="389">
        <v>1991</v>
      </c>
      <c r="C48" s="474">
        <v>973.84432211257752</v>
      </c>
      <c r="D48" s="475">
        <f t="shared" si="0"/>
        <v>973.84432211257752</v>
      </c>
      <c r="E48" s="475">
        <f t="shared" si="0"/>
        <v>973.84432211257752</v>
      </c>
      <c r="F48" s="476">
        <f t="shared" si="0"/>
        <v>973.84432211257752</v>
      </c>
      <c r="G48" s="477">
        <v>1401.7201751327302</v>
      </c>
      <c r="H48" s="475">
        <v>1401.7201751327302</v>
      </c>
      <c r="I48" s="475">
        <v>1401.7201751327302</v>
      </c>
      <c r="J48" s="476">
        <v>1401.7201751327302</v>
      </c>
      <c r="K48" s="478">
        <f t="shared" si="2"/>
        <v>6.7870277499164189E-2</v>
      </c>
      <c r="L48" s="438">
        <f t="shared" si="2"/>
        <v>6.7870277499164189E-2</v>
      </c>
      <c r="M48" s="438">
        <f t="shared" si="2"/>
        <v>6.7870277499164189E-2</v>
      </c>
      <c r="N48" s="479">
        <f t="shared" si="2"/>
        <v>6.7870277499164189E-2</v>
      </c>
      <c r="O48" s="437">
        <f t="shared" si="2"/>
        <v>3.4115757233386113E-2</v>
      </c>
      <c r="P48" s="438">
        <f t="shared" si="2"/>
        <v>3.4115757233386113E-2</v>
      </c>
      <c r="Q48" s="438">
        <f t="shared" si="2"/>
        <v>3.4115757233386113E-2</v>
      </c>
      <c r="R48" s="439">
        <f t="shared" si="2"/>
        <v>3.4115757233386113E-2</v>
      </c>
      <c r="S48" s="480"/>
    </row>
    <row r="49" spans="2:19" ht="15" customHeight="1" x14ac:dyDescent="0.25">
      <c r="B49" s="389">
        <v>1992</v>
      </c>
      <c r="C49" s="474">
        <v>995.79698059476459</v>
      </c>
      <c r="D49" s="475">
        <f t="shared" si="0"/>
        <v>995.79698059476459</v>
      </c>
      <c r="E49" s="475">
        <f t="shared" si="0"/>
        <v>995.79698059476459</v>
      </c>
      <c r="F49" s="476">
        <f t="shared" si="0"/>
        <v>995.79698059476459</v>
      </c>
      <c r="G49" s="477">
        <v>1401.1087291570718</v>
      </c>
      <c r="H49" s="475">
        <v>1401.1087291570718</v>
      </c>
      <c r="I49" s="475">
        <v>1401.1087291570718</v>
      </c>
      <c r="J49" s="476">
        <v>1401.1087291570718</v>
      </c>
      <c r="K49" s="478">
        <f t="shared" si="2"/>
        <v>2.254226675015647E-2</v>
      </c>
      <c r="L49" s="438">
        <f t="shared" si="2"/>
        <v>2.254226675015647E-2</v>
      </c>
      <c r="M49" s="438">
        <f t="shared" si="2"/>
        <v>2.254226675015647E-2</v>
      </c>
      <c r="N49" s="479">
        <f t="shared" si="2"/>
        <v>2.254226675015647E-2</v>
      </c>
      <c r="O49" s="437">
        <f t="shared" si="2"/>
        <v>-4.3621115434144819E-4</v>
      </c>
      <c r="P49" s="438">
        <f t="shared" si="2"/>
        <v>-4.3621115434144819E-4</v>
      </c>
      <c r="Q49" s="438">
        <f t="shared" si="2"/>
        <v>-4.3621115434144819E-4</v>
      </c>
      <c r="R49" s="439">
        <f t="shared" si="2"/>
        <v>-4.3621115434144819E-4</v>
      </c>
      <c r="S49" s="480"/>
    </row>
    <row r="50" spans="2:19" ht="15" customHeight="1" x14ac:dyDescent="0.25">
      <c r="B50" s="389">
        <v>1993</v>
      </c>
      <c r="C50" s="474">
        <v>1038.4827054212394</v>
      </c>
      <c r="D50" s="475">
        <f t="shared" si="0"/>
        <v>1038.4827054212394</v>
      </c>
      <c r="E50" s="475">
        <f t="shared" si="0"/>
        <v>1038.4827054212394</v>
      </c>
      <c r="F50" s="476">
        <f t="shared" si="0"/>
        <v>1038.4827054212394</v>
      </c>
      <c r="G50" s="477">
        <v>1431.0205973741372</v>
      </c>
      <c r="H50" s="475">
        <v>1431.0205973741372</v>
      </c>
      <c r="I50" s="475">
        <v>1431.0205973741372</v>
      </c>
      <c r="J50" s="476">
        <v>1431.0205973741372</v>
      </c>
      <c r="K50" s="478">
        <f t="shared" si="2"/>
        <v>4.2865890998162737E-2</v>
      </c>
      <c r="L50" s="438">
        <f t="shared" si="2"/>
        <v>4.2865890998162737E-2</v>
      </c>
      <c r="M50" s="438">
        <f t="shared" si="2"/>
        <v>4.2865890998162737E-2</v>
      </c>
      <c r="N50" s="479">
        <f t="shared" si="2"/>
        <v>4.2865890998162737E-2</v>
      </c>
      <c r="O50" s="437">
        <f t="shared" si="2"/>
        <v>2.1348713054597068E-2</v>
      </c>
      <c r="P50" s="438">
        <f t="shared" si="2"/>
        <v>2.1348713054597068E-2</v>
      </c>
      <c r="Q50" s="438">
        <f t="shared" si="2"/>
        <v>2.1348713054597068E-2</v>
      </c>
      <c r="R50" s="439">
        <f t="shared" si="2"/>
        <v>2.1348713054597068E-2</v>
      </c>
      <c r="S50" s="480"/>
    </row>
    <row r="51" spans="2:19" ht="15" customHeight="1" x14ac:dyDescent="0.25">
      <c r="B51" s="389">
        <v>1994</v>
      </c>
      <c r="C51" s="474">
        <v>1061.9598540758006</v>
      </c>
      <c r="D51" s="475">
        <f t="shared" si="0"/>
        <v>1061.9598540758006</v>
      </c>
      <c r="E51" s="475">
        <f t="shared" si="0"/>
        <v>1061.9598540758006</v>
      </c>
      <c r="F51" s="476">
        <f t="shared" si="0"/>
        <v>1061.9598540758006</v>
      </c>
      <c r="G51" s="477">
        <v>1439.6094476497117</v>
      </c>
      <c r="H51" s="475">
        <v>1439.6094476497117</v>
      </c>
      <c r="I51" s="475">
        <v>1439.6094476497117</v>
      </c>
      <c r="J51" s="476">
        <v>1439.6094476497117</v>
      </c>
      <c r="K51" s="478">
        <f t="shared" si="2"/>
        <v>2.2607163828537891E-2</v>
      </c>
      <c r="L51" s="438">
        <f t="shared" si="2"/>
        <v>2.2607163828537891E-2</v>
      </c>
      <c r="M51" s="438">
        <f t="shared" si="2"/>
        <v>2.2607163828537891E-2</v>
      </c>
      <c r="N51" s="479">
        <f t="shared" si="2"/>
        <v>2.2607163828537891E-2</v>
      </c>
      <c r="O51" s="437">
        <f t="shared" si="2"/>
        <v>6.0019054172488762E-3</v>
      </c>
      <c r="P51" s="438">
        <f t="shared" si="2"/>
        <v>6.0019054172488762E-3</v>
      </c>
      <c r="Q51" s="438">
        <f t="shared" si="2"/>
        <v>6.0019054172488762E-3</v>
      </c>
      <c r="R51" s="439">
        <f t="shared" si="2"/>
        <v>6.0019054172488762E-3</v>
      </c>
      <c r="S51" s="480"/>
    </row>
    <row r="52" spans="2:19" ht="15" customHeight="1" x14ac:dyDescent="0.25">
      <c r="B52" s="389">
        <v>1995</v>
      </c>
      <c r="C52" s="474">
        <v>1084.2174105924626</v>
      </c>
      <c r="D52" s="475">
        <f t="shared" si="0"/>
        <v>1084.2174105924626</v>
      </c>
      <c r="E52" s="475">
        <f t="shared" si="0"/>
        <v>1084.2174105924626</v>
      </c>
      <c r="F52" s="476">
        <f t="shared" si="0"/>
        <v>1084.2174105924626</v>
      </c>
      <c r="G52" s="477">
        <v>1442.4555138532921</v>
      </c>
      <c r="H52" s="475">
        <v>1442.4555138532921</v>
      </c>
      <c r="I52" s="475">
        <v>1442.4555138532921</v>
      </c>
      <c r="J52" s="476">
        <v>1442.4555138532921</v>
      </c>
      <c r="K52" s="478">
        <f t="shared" si="2"/>
        <v>2.0958943439563615E-2</v>
      </c>
      <c r="L52" s="438">
        <f t="shared" si="2"/>
        <v>2.0958943439563615E-2</v>
      </c>
      <c r="M52" s="438">
        <f t="shared" si="2"/>
        <v>2.0958943439563615E-2</v>
      </c>
      <c r="N52" s="479">
        <f t="shared" si="2"/>
        <v>2.0958943439563615E-2</v>
      </c>
      <c r="O52" s="437">
        <f t="shared" si="2"/>
        <v>1.9769710515771255E-3</v>
      </c>
      <c r="P52" s="438">
        <f t="shared" si="2"/>
        <v>1.9769710515771255E-3</v>
      </c>
      <c r="Q52" s="438">
        <f t="shared" si="2"/>
        <v>1.9769710515771255E-3</v>
      </c>
      <c r="R52" s="439">
        <f t="shared" si="2"/>
        <v>1.9769710515771255E-3</v>
      </c>
      <c r="S52" s="480"/>
    </row>
    <row r="53" spans="2:19" ht="15" customHeight="1" x14ac:dyDescent="0.25">
      <c r="B53" s="389">
        <v>1996</v>
      </c>
      <c r="C53" s="474">
        <v>1127.5129314878873</v>
      </c>
      <c r="D53" s="475">
        <f t="shared" si="0"/>
        <v>1127.5129314878873</v>
      </c>
      <c r="E53" s="475">
        <f t="shared" si="0"/>
        <v>1127.5129314878873</v>
      </c>
      <c r="F53" s="476">
        <f t="shared" si="0"/>
        <v>1127.5129314878873</v>
      </c>
      <c r="G53" s="477">
        <v>1470.7584046413613</v>
      </c>
      <c r="H53" s="475">
        <v>1470.7584046413613</v>
      </c>
      <c r="I53" s="475">
        <v>1470.7584046413613</v>
      </c>
      <c r="J53" s="476">
        <v>1470.7584046413613</v>
      </c>
      <c r="K53" s="478">
        <f t="shared" si="2"/>
        <v>3.9932508436445691E-2</v>
      </c>
      <c r="L53" s="438">
        <f t="shared" si="2"/>
        <v>3.9932508436445691E-2</v>
      </c>
      <c r="M53" s="438">
        <f t="shared" si="2"/>
        <v>3.9932508436445691E-2</v>
      </c>
      <c r="N53" s="479">
        <f t="shared" si="2"/>
        <v>3.9932508436445691E-2</v>
      </c>
      <c r="O53" s="437">
        <f t="shared" si="2"/>
        <v>1.9621326631046321E-2</v>
      </c>
      <c r="P53" s="438">
        <f t="shared" si="2"/>
        <v>1.9621326631046321E-2</v>
      </c>
      <c r="Q53" s="438">
        <f t="shared" si="2"/>
        <v>1.9621326631046321E-2</v>
      </c>
      <c r="R53" s="439">
        <f t="shared" si="2"/>
        <v>1.9621326631046321E-2</v>
      </c>
      <c r="S53" s="480"/>
    </row>
    <row r="54" spans="2:19" ht="15" customHeight="1" x14ac:dyDescent="0.25">
      <c r="B54" s="389">
        <v>1997</v>
      </c>
      <c r="C54" s="474">
        <v>1155.8684486940456</v>
      </c>
      <c r="D54" s="475">
        <f t="shared" si="0"/>
        <v>1155.8684486940456</v>
      </c>
      <c r="E54" s="475">
        <f t="shared" si="0"/>
        <v>1155.8684486940456</v>
      </c>
      <c r="F54" s="476">
        <f t="shared" si="0"/>
        <v>1155.8684486940456</v>
      </c>
      <c r="G54" s="477">
        <v>1490.2818685993498</v>
      </c>
      <c r="H54" s="475">
        <v>1490.2818685993498</v>
      </c>
      <c r="I54" s="475">
        <v>1490.2818685993498</v>
      </c>
      <c r="J54" s="476">
        <v>1490.2818685993498</v>
      </c>
      <c r="K54" s="478">
        <f t="shared" ref="K54:R92" si="3">C54/C53-1</f>
        <v>2.5148729042725693E-2</v>
      </c>
      <c r="L54" s="438">
        <f t="shared" si="3"/>
        <v>2.5148729042725693E-2</v>
      </c>
      <c r="M54" s="438">
        <f t="shared" si="3"/>
        <v>2.5148729042725693E-2</v>
      </c>
      <c r="N54" s="479">
        <f t="shared" si="3"/>
        <v>2.5148729042725693E-2</v>
      </c>
      <c r="O54" s="437">
        <f t="shared" si="3"/>
        <v>1.3274419439914142E-2</v>
      </c>
      <c r="P54" s="438">
        <f t="shared" si="3"/>
        <v>1.3274419439914142E-2</v>
      </c>
      <c r="Q54" s="438">
        <f t="shared" si="3"/>
        <v>1.3274419439914142E-2</v>
      </c>
      <c r="R54" s="439">
        <f t="shared" si="3"/>
        <v>1.3274419439914142E-2</v>
      </c>
      <c r="S54" s="480"/>
    </row>
    <row r="55" spans="2:19" ht="15" customHeight="1" x14ac:dyDescent="0.25">
      <c r="B55" s="389">
        <v>1998</v>
      </c>
      <c r="C55" s="474">
        <v>1202.2129499342182</v>
      </c>
      <c r="D55" s="475">
        <f t="shared" si="0"/>
        <v>1202.2129499342182</v>
      </c>
      <c r="E55" s="475">
        <f t="shared" si="0"/>
        <v>1202.2129499342182</v>
      </c>
      <c r="F55" s="476">
        <f t="shared" si="0"/>
        <v>1202.2129499342182</v>
      </c>
      <c r="G55" s="477">
        <v>1540.1239555551147</v>
      </c>
      <c r="H55" s="475">
        <v>1540.1239555551147</v>
      </c>
      <c r="I55" s="475">
        <v>1540.1239555551147</v>
      </c>
      <c r="J55" s="476">
        <v>1540.1239555551147</v>
      </c>
      <c r="K55" s="478">
        <f t="shared" si="3"/>
        <v>4.00949617515165E-2</v>
      </c>
      <c r="L55" s="438">
        <f t="shared" si="3"/>
        <v>4.00949617515165E-2</v>
      </c>
      <c r="M55" s="438">
        <f t="shared" si="3"/>
        <v>4.00949617515165E-2</v>
      </c>
      <c r="N55" s="479">
        <f t="shared" si="3"/>
        <v>4.00949617515165E-2</v>
      </c>
      <c r="O55" s="437">
        <f t="shared" si="3"/>
        <v>3.3444738210905989E-2</v>
      </c>
      <c r="P55" s="438">
        <f t="shared" si="3"/>
        <v>3.3444738210905989E-2</v>
      </c>
      <c r="Q55" s="438">
        <f t="shared" si="3"/>
        <v>3.3444738210905989E-2</v>
      </c>
      <c r="R55" s="439">
        <f t="shared" si="3"/>
        <v>3.3444738210905989E-2</v>
      </c>
      <c r="S55" s="480"/>
    </row>
    <row r="56" spans="2:19" ht="15" customHeight="1" x14ac:dyDescent="0.25">
      <c r="B56" s="389">
        <v>1999</v>
      </c>
      <c r="C56" s="474">
        <v>1226.2998946577291</v>
      </c>
      <c r="D56" s="475">
        <f t="shared" si="0"/>
        <v>1226.2998946577291</v>
      </c>
      <c r="E56" s="475">
        <f t="shared" si="0"/>
        <v>1226.2998946577291</v>
      </c>
      <c r="F56" s="476">
        <f t="shared" si="0"/>
        <v>1226.2998946577291</v>
      </c>
      <c r="G56" s="477">
        <v>1562.986303394546</v>
      </c>
      <c r="H56" s="475">
        <v>1562.986303394546</v>
      </c>
      <c r="I56" s="475">
        <v>1562.986303394546</v>
      </c>
      <c r="J56" s="476">
        <v>1562.986303394546</v>
      </c>
      <c r="K56" s="478">
        <f t="shared" si="3"/>
        <v>2.003550595992909E-2</v>
      </c>
      <c r="L56" s="438">
        <f t="shared" si="3"/>
        <v>2.003550595992909E-2</v>
      </c>
      <c r="M56" s="438">
        <f t="shared" si="3"/>
        <v>2.003550595992909E-2</v>
      </c>
      <c r="N56" s="479">
        <f t="shared" si="3"/>
        <v>2.003550595992909E-2</v>
      </c>
      <c r="O56" s="437">
        <f t="shared" si="3"/>
        <v>1.4844485573364707E-2</v>
      </c>
      <c r="P56" s="438">
        <f t="shared" si="3"/>
        <v>1.4844485573364707E-2</v>
      </c>
      <c r="Q56" s="438">
        <f t="shared" si="3"/>
        <v>1.4844485573364707E-2</v>
      </c>
      <c r="R56" s="439">
        <f t="shared" si="3"/>
        <v>1.4844485573364707E-2</v>
      </c>
      <c r="S56" s="480"/>
    </row>
    <row r="57" spans="2:19" ht="15" customHeight="1" x14ac:dyDescent="0.25">
      <c r="B57" s="389">
        <v>2000</v>
      </c>
      <c r="C57" s="474">
        <v>1241.5447963814702</v>
      </c>
      <c r="D57" s="475">
        <f t="shared" si="0"/>
        <v>1241.5447963814702</v>
      </c>
      <c r="E57" s="475">
        <f t="shared" si="0"/>
        <v>1241.5447963814702</v>
      </c>
      <c r="F57" s="476">
        <f t="shared" si="0"/>
        <v>1241.5447963814702</v>
      </c>
      <c r="G57" s="477">
        <v>1556.6703091551399</v>
      </c>
      <c r="H57" s="475">
        <v>1556.6703091551399</v>
      </c>
      <c r="I57" s="475">
        <v>1556.6703091551399</v>
      </c>
      <c r="J57" s="476">
        <v>1556.6703091551399</v>
      </c>
      <c r="K57" s="478">
        <f t="shared" si="3"/>
        <v>1.243162605668835E-2</v>
      </c>
      <c r="L57" s="438">
        <f t="shared" si="3"/>
        <v>1.243162605668835E-2</v>
      </c>
      <c r="M57" s="438">
        <f t="shared" si="3"/>
        <v>1.243162605668835E-2</v>
      </c>
      <c r="N57" s="479">
        <f t="shared" si="3"/>
        <v>1.243162605668835E-2</v>
      </c>
      <c r="O57" s="437">
        <f t="shared" si="3"/>
        <v>-4.0409786225822364E-3</v>
      </c>
      <c r="P57" s="438">
        <f t="shared" si="3"/>
        <v>-4.0409786225822364E-3</v>
      </c>
      <c r="Q57" s="438">
        <f t="shared" si="3"/>
        <v>-4.0409786225822364E-3</v>
      </c>
      <c r="R57" s="439">
        <f t="shared" si="3"/>
        <v>-4.0409786225822364E-3</v>
      </c>
      <c r="S57" s="480"/>
    </row>
    <row r="58" spans="2:19" ht="15" customHeight="1" x14ac:dyDescent="0.25">
      <c r="B58" s="389">
        <v>2001</v>
      </c>
      <c r="C58" s="474">
        <v>1281.1815408631969</v>
      </c>
      <c r="D58" s="475">
        <f t="shared" si="0"/>
        <v>1281.1815408631969</v>
      </c>
      <c r="E58" s="475">
        <f t="shared" si="0"/>
        <v>1281.1815408631969</v>
      </c>
      <c r="F58" s="476">
        <f t="shared" si="0"/>
        <v>1281.1815408631969</v>
      </c>
      <c r="G58" s="477">
        <v>1580.6498369910723</v>
      </c>
      <c r="H58" s="475">
        <v>1580.6498369910723</v>
      </c>
      <c r="I58" s="475">
        <v>1580.6498369910723</v>
      </c>
      <c r="J58" s="476">
        <v>1580.6498369910723</v>
      </c>
      <c r="K58" s="478">
        <f t="shared" si="3"/>
        <v>3.1925343811394891E-2</v>
      </c>
      <c r="L58" s="438">
        <f t="shared" si="3"/>
        <v>3.1925343811394891E-2</v>
      </c>
      <c r="M58" s="438">
        <f t="shared" si="3"/>
        <v>3.1925343811394891E-2</v>
      </c>
      <c r="N58" s="479">
        <f t="shared" si="3"/>
        <v>3.1925343811394891E-2</v>
      </c>
      <c r="O58" s="437">
        <f t="shared" si="3"/>
        <v>1.5404371558257024E-2</v>
      </c>
      <c r="P58" s="438">
        <f t="shared" si="3"/>
        <v>1.5404371558257024E-2</v>
      </c>
      <c r="Q58" s="438">
        <f t="shared" si="3"/>
        <v>1.5404371558257024E-2</v>
      </c>
      <c r="R58" s="439">
        <f t="shared" si="3"/>
        <v>1.5404371558257024E-2</v>
      </c>
      <c r="S58" s="480"/>
    </row>
    <row r="59" spans="2:19" ht="15" customHeight="1" x14ac:dyDescent="0.25">
      <c r="B59" s="389">
        <v>2002</v>
      </c>
      <c r="C59" s="474">
        <v>1334</v>
      </c>
      <c r="D59" s="475">
        <f t="shared" si="0"/>
        <v>1334</v>
      </c>
      <c r="E59" s="475">
        <f t="shared" si="0"/>
        <v>1334</v>
      </c>
      <c r="F59" s="476">
        <f t="shared" si="0"/>
        <v>1334</v>
      </c>
      <c r="G59" s="477">
        <v>1614.0111111111112</v>
      </c>
      <c r="H59" s="475">
        <v>1614.0111111111112</v>
      </c>
      <c r="I59" s="475">
        <v>1614.0111111111112</v>
      </c>
      <c r="J59" s="476">
        <v>1614.0111111111112</v>
      </c>
      <c r="K59" s="478">
        <f t="shared" si="3"/>
        <v>4.1226366016182681E-2</v>
      </c>
      <c r="L59" s="438">
        <f t="shared" si="3"/>
        <v>4.1226366016182681E-2</v>
      </c>
      <c r="M59" s="438">
        <f t="shared" si="3"/>
        <v>4.1226366016182681E-2</v>
      </c>
      <c r="N59" s="479">
        <f t="shared" si="3"/>
        <v>4.1226366016182681E-2</v>
      </c>
      <c r="O59" s="437">
        <f t="shared" si="3"/>
        <v>2.1106049764662238E-2</v>
      </c>
      <c r="P59" s="438">
        <f t="shared" si="3"/>
        <v>2.1106049764662238E-2</v>
      </c>
      <c r="Q59" s="438">
        <f t="shared" si="3"/>
        <v>2.1106049764662238E-2</v>
      </c>
      <c r="R59" s="439">
        <f t="shared" si="3"/>
        <v>2.1106049764662238E-2</v>
      </c>
      <c r="S59" s="480"/>
    </row>
    <row r="60" spans="2:19" ht="15" customHeight="1" x14ac:dyDescent="0.25">
      <c r="B60" s="389">
        <v>2003</v>
      </c>
      <c r="C60" s="474">
        <v>1366</v>
      </c>
      <c r="D60" s="475">
        <f t="shared" si="0"/>
        <v>1366</v>
      </c>
      <c r="E60" s="475">
        <f t="shared" si="0"/>
        <v>1366</v>
      </c>
      <c r="F60" s="476">
        <f t="shared" si="0"/>
        <v>1366</v>
      </c>
      <c r="G60" s="477">
        <v>1619.4778698224854</v>
      </c>
      <c r="H60" s="475">
        <v>1619.4778698224854</v>
      </c>
      <c r="I60" s="475">
        <v>1619.4778698224854</v>
      </c>
      <c r="J60" s="476">
        <v>1619.4778698224854</v>
      </c>
      <c r="K60" s="478">
        <f t="shared" si="3"/>
        <v>2.398800599700146E-2</v>
      </c>
      <c r="L60" s="438">
        <f t="shared" si="3"/>
        <v>2.398800599700146E-2</v>
      </c>
      <c r="M60" s="438">
        <f t="shared" si="3"/>
        <v>2.398800599700146E-2</v>
      </c>
      <c r="N60" s="479">
        <f t="shared" si="3"/>
        <v>2.398800599700146E-2</v>
      </c>
      <c r="O60" s="437">
        <f t="shared" si="3"/>
        <v>3.3870638645174811E-3</v>
      </c>
      <c r="P60" s="438">
        <f t="shared" si="3"/>
        <v>3.3870638645174811E-3</v>
      </c>
      <c r="Q60" s="438">
        <f t="shared" si="3"/>
        <v>3.3870638645174811E-3</v>
      </c>
      <c r="R60" s="439">
        <f t="shared" si="3"/>
        <v>3.3870638645174811E-3</v>
      </c>
      <c r="S60" s="480"/>
    </row>
    <row r="61" spans="2:19" ht="15" customHeight="1" x14ac:dyDescent="0.25">
      <c r="B61" s="389">
        <v>2004</v>
      </c>
      <c r="C61" s="474">
        <v>1438</v>
      </c>
      <c r="D61" s="475">
        <f t="shared" si="0"/>
        <v>1438</v>
      </c>
      <c r="E61" s="475">
        <f t="shared" si="0"/>
        <v>1438</v>
      </c>
      <c r="F61" s="476">
        <f t="shared" si="0"/>
        <v>1438</v>
      </c>
      <c r="G61" s="477">
        <v>1669.2797219003478</v>
      </c>
      <c r="H61" s="475">
        <v>1669.2797219003478</v>
      </c>
      <c r="I61" s="475">
        <v>1669.2797219003478</v>
      </c>
      <c r="J61" s="476">
        <v>1669.2797219003478</v>
      </c>
      <c r="K61" s="478">
        <f t="shared" si="3"/>
        <v>5.2708638360175586E-2</v>
      </c>
      <c r="L61" s="438">
        <f t="shared" si="3"/>
        <v>5.2708638360175586E-2</v>
      </c>
      <c r="M61" s="438">
        <f t="shared" si="3"/>
        <v>5.2708638360175586E-2</v>
      </c>
      <c r="N61" s="479">
        <f t="shared" si="3"/>
        <v>5.2708638360175586E-2</v>
      </c>
      <c r="O61" s="437">
        <f t="shared" si="3"/>
        <v>3.0751795381632085E-2</v>
      </c>
      <c r="P61" s="438">
        <f t="shared" si="3"/>
        <v>3.0751795381632085E-2</v>
      </c>
      <c r="Q61" s="438">
        <f t="shared" si="3"/>
        <v>3.0751795381632085E-2</v>
      </c>
      <c r="R61" s="439">
        <f t="shared" si="3"/>
        <v>3.0751795381632085E-2</v>
      </c>
      <c r="S61" s="480"/>
    </row>
    <row r="62" spans="2:19" ht="15" customHeight="1" x14ac:dyDescent="0.25">
      <c r="B62" s="389">
        <v>2005</v>
      </c>
      <c r="C62" s="474">
        <v>1522</v>
      </c>
      <c r="D62" s="475">
        <f t="shared" si="0"/>
        <v>1522</v>
      </c>
      <c r="E62" s="475">
        <f t="shared" si="0"/>
        <v>1522</v>
      </c>
      <c r="F62" s="476">
        <f t="shared" si="0"/>
        <v>1522</v>
      </c>
      <c r="G62" s="477">
        <v>1734.6298065984074</v>
      </c>
      <c r="H62" s="475">
        <v>1734.6298065984074</v>
      </c>
      <c r="I62" s="475">
        <v>1734.6298065984074</v>
      </c>
      <c r="J62" s="476">
        <v>1734.6298065984074</v>
      </c>
      <c r="K62" s="478">
        <f t="shared" si="3"/>
        <v>5.8414464534075172E-2</v>
      </c>
      <c r="L62" s="438">
        <f t="shared" si="3"/>
        <v>5.8414464534075172E-2</v>
      </c>
      <c r="M62" s="438">
        <f t="shared" si="3"/>
        <v>5.8414464534075172E-2</v>
      </c>
      <c r="N62" s="479">
        <f t="shared" si="3"/>
        <v>5.8414464534075172E-2</v>
      </c>
      <c r="O62" s="437">
        <f t="shared" si="3"/>
        <v>3.9148672233113579E-2</v>
      </c>
      <c r="P62" s="438">
        <f t="shared" si="3"/>
        <v>3.9148672233113579E-2</v>
      </c>
      <c r="Q62" s="438">
        <f t="shared" si="3"/>
        <v>3.9148672233113579E-2</v>
      </c>
      <c r="R62" s="439">
        <f t="shared" si="3"/>
        <v>3.9148672233113579E-2</v>
      </c>
      <c r="S62" s="480"/>
    </row>
    <row r="63" spans="2:19" ht="15" customHeight="1" x14ac:dyDescent="0.25">
      <c r="B63" s="389">
        <v>2006</v>
      </c>
      <c r="C63" s="474">
        <v>1606</v>
      </c>
      <c r="D63" s="475">
        <f t="shared" si="0"/>
        <v>1606</v>
      </c>
      <c r="E63" s="475">
        <f t="shared" si="0"/>
        <v>1606</v>
      </c>
      <c r="F63" s="476">
        <f t="shared" si="0"/>
        <v>1606</v>
      </c>
      <c r="G63" s="477">
        <v>1801.0643680734358</v>
      </c>
      <c r="H63" s="475">
        <v>1801.0643680734358</v>
      </c>
      <c r="I63" s="475">
        <v>1801.0643680734358</v>
      </c>
      <c r="J63" s="476">
        <v>1801.0643680734358</v>
      </c>
      <c r="K63" s="478">
        <f t="shared" si="3"/>
        <v>5.5190538764783081E-2</v>
      </c>
      <c r="L63" s="438">
        <f t="shared" si="3"/>
        <v>5.5190538764783081E-2</v>
      </c>
      <c r="M63" s="438">
        <f t="shared" si="3"/>
        <v>5.5190538764783081E-2</v>
      </c>
      <c r="N63" s="479">
        <f t="shared" si="3"/>
        <v>5.5190538764783081E-2</v>
      </c>
      <c r="O63" s="437">
        <f t="shared" si="3"/>
        <v>3.8298985306441935E-2</v>
      </c>
      <c r="P63" s="438">
        <f t="shared" si="3"/>
        <v>3.8298985306441935E-2</v>
      </c>
      <c r="Q63" s="438">
        <f t="shared" si="3"/>
        <v>3.8298985306441935E-2</v>
      </c>
      <c r="R63" s="439">
        <f t="shared" si="3"/>
        <v>3.8298985306441935E-2</v>
      </c>
      <c r="S63" s="480"/>
    </row>
    <row r="64" spans="2:19" ht="15" customHeight="1" x14ac:dyDescent="0.25">
      <c r="B64" s="389">
        <v>2007</v>
      </c>
      <c r="C64" s="474">
        <v>1654</v>
      </c>
      <c r="D64" s="475">
        <f t="shared" si="0"/>
        <v>1654</v>
      </c>
      <c r="E64" s="475">
        <f t="shared" si="0"/>
        <v>1654</v>
      </c>
      <c r="F64" s="476">
        <f t="shared" si="0"/>
        <v>1654</v>
      </c>
      <c r="G64" s="477">
        <v>1827.6827707919701</v>
      </c>
      <c r="H64" s="475">
        <v>1827.6827707919701</v>
      </c>
      <c r="I64" s="475">
        <v>1827.6827707919701</v>
      </c>
      <c r="J64" s="476">
        <v>1827.6827707919701</v>
      </c>
      <c r="K64" s="478">
        <f t="shared" si="3"/>
        <v>2.98879202988791E-2</v>
      </c>
      <c r="L64" s="438">
        <f t="shared" si="3"/>
        <v>2.98879202988791E-2</v>
      </c>
      <c r="M64" s="438">
        <f t="shared" si="3"/>
        <v>2.98879202988791E-2</v>
      </c>
      <c r="N64" s="479">
        <f t="shared" si="3"/>
        <v>2.98879202988791E-2</v>
      </c>
      <c r="O64" s="437">
        <f t="shared" si="3"/>
        <v>1.4779262301995111E-2</v>
      </c>
      <c r="P64" s="438">
        <f t="shared" si="3"/>
        <v>1.4779262301995111E-2</v>
      </c>
      <c r="Q64" s="438">
        <f t="shared" si="3"/>
        <v>1.4779262301995111E-2</v>
      </c>
      <c r="R64" s="439">
        <f t="shared" si="3"/>
        <v>1.4779262301995111E-2</v>
      </c>
      <c r="S64" s="480"/>
    </row>
    <row r="65" spans="2:20" ht="15" customHeight="1" x14ac:dyDescent="0.25">
      <c r="B65" s="389">
        <v>2008</v>
      </c>
      <c r="C65" s="474">
        <v>1688</v>
      </c>
      <c r="D65" s="475">
        <f t="shared" si="0"/>
        <v>1688</v>
      </c>
      <c r="E65" s="475">
        <f t="shared" si="0"/>
        <v>1688</v>
      </c>
      <c r="F65" s="476">
        <f t="shared" si="0"/>
        <v>1688</v>
      </c>
      <c r="G65" s="477">
        <v>1814.2242248685766</v>
      </c>
      <c r="H65" s="475">
        <v>1814.2242248685766</v>
      </c>
      <c r="I65" s="475">
        <v>1814.2242248685766</v>
      </c>
      <c r="J65" s="476">
        <v>1814.2242248685766</v>
      </c>
      <c r="K65" s="478">
        <f t="shared" si="3"/>
        <v>2.0556227327690468E-2</v>
      </c>
      <c r="L65" s="438">
        <f t="shared" si="3"/>
        <v>2.0556227327690468E-2</v>
      </c>
      <c r="M65" s="438">
        <f t="shared" si="3"/>
        <v>2.0556227327690468E-2</v>
      </c>
      <c r="N65" s="479">
        <f t="shared" si="3"/>
        <v>2.0556227327690468E-2</v>
      </c>
      <c r="O65" s="437">
        <f t="shared" si="3"/>
        <v>-7.3637209577468443E-3</v>
      </c>
      <c r="P65" s="438">
        <f t="shared" si="3"/>
        <v>-7.3637209577468443E-3</v>
      </c>
      <c r="Q65" s="438">
        <f t="shared" si="3"/>
        <v>-7.3637209577468443E-3</v>
      </c>
      <c r="R65" s="439">
        <f t="shared" si="3"/>
        <v>-7.3637209577468443E-3</v>
      </c>
      <c r="S65" s="480"/>
      <c r="T65" s="481"/>
    </row>
    <row r="66" spans="2:20" ht="15" customHeight="1" x14ac:dyDescent="0.25">
      <c r="B66" s="389">
        <v>2009</v>
      </c>
      <c r="C66" s="474">
        <v>1742</v>
      </c>
      <c r="D66" s="475">
        <f t="shared" si="0"/>
        <v>1742</v>
      </c>
      <c r="E66" s="475">
        <f t="shared" si="0"/>
        <v>1742</v>
      </c>
      <c r="F66" s="476">
        <f t="shared" si="0"/>
        <v>1742</v>
      </c>
      <c r="G66" s="477">
        <v>1870.6566620216529</v>
      </c>
      <c r="H66" s="475">
        <v>1870.6566620216529</v>
      </c>
      <c r="I66" s="475">
        <v>1870.6566620216529</v>
      </c>
      <c r="J66" s="476">
        <v>1870.6566620216529</v>
      </c>
      <c r="K66" s="478">
        <f t="shared" si="3"/>
        <v>3.1990521327014187E-2</v>
      </c>
      <c r="L66" s="438">
        <f t="shared" si="3"/>
        <v>3.1990521327014187E-2</v>
      </c>
      <c r="M66" s="438">
        <f t="shared" si="3"/>
        <v>3.1990521327014187E-2</v>
      </c>
      <c r="N66" s="479">
        <f t="shared" si="3"/>
        <v>3.1990521327014187E-2</v>
      </c>
      <c r="O66" s="437">
        <f t="shared" si="3"/>
        <v>3.1105547142147971E-2</v>
      </c>
      <c r="P66" s="438">
        <f t="shared" si="3"/>
        <v>3.1105547142147971E-2</v>
      </c>
      <c r="Q66" s="438">
        <f t="shared" si="3"/>
        <v>3.1105547142147971E-2</v>
      </c>
      <c r="R66" s="439">
        <f t="shared" si="3"/>
        <v>3.1105547142147971E-2</v>
      </c>
      <c r="S66" s="480"/>
      <c r="T66" s="481"/>
    </row>
    <row r="67" spans="2:20" ht="15" customHeight="1" x14ac:dyDescent="0.25">
      <c r="B67" s="389">
        <v>2010</v>
      </c>
      <c r="C67" s="474">
        <v>1772</v>
      </c>
      <c r="D67" s="475">
        <f t="shared" si="0"/>
        <v>1772</v>
      </c>
      <c r="E67" s="475">
        <f t="shared" si="0"/>
        <v>1772</v>
      </c>
      <c r="F67" s="476">
        <f t="shared" si="0"/>
        <v>1772</v>
      </c>
      <c r="G67" s="477">
        <v>1874.342308098406</v>
      </c>
      <c r="H67" s="475">
        <v>1874.342308098406</v>
      </c>
      <c r="I67" s="475">
        <v>1874.342308098406</v>
      </c>
      <c r="J67" s="476">
        <v>1874.342308098406</v>
      </c>
      <c r="K67" s="478">
        <f t="shared" si="3"/>
        <v>1.7221584385763489E-2</v>
      </c>
      <c r="L67" s="438">
        <f t="shared" si="3"/>
        <v>1.7221584385763489E-2</v>
      </c>
      <c r="M67" s="438">
        <f t="shared" si="3"/>
        <v>1.7221584385763489E-2</v>
      </c>
      <c r="N67" s="479">
        <f t="shared" si="3"/>
        <v>1.7221584385763489E-2</v>
      </c>
      <c r="O67" s="437">
        <f t="shared" si="3"/>
        <v>1.9702418683127387E-3</v>
      </c>
      <c r="P67" s="438">
        <f t="shared" si="3"/>
        <v>1.9702418683127387E-3</v>
      </c>
      <c r="Q67" s="438">
        <f t="shared" si="3"/>
        <v>1.9702418683127387E-3</v>
      </c>
      <c r="R67" s="439">
        <f t="shared" si="3"/>
        <v>1.9702418683127387E-3</v>
      </c>
      <c r="S67" s="480"/>
      <c r="T67" s="481"/>
    </row>
    <row r="68" spans="2:20" ht="15" customHeight="1" x14ac:dyDescent="0.25">
      <c r="B68" s="389">
        <v>2011</v>
      </c>
      <c r="C68" s="474">
        <v>1800</v>
      </c>
      <c r="D68" s="475">
        <f t="shared" si="0"/>
        <v>1800</v>
      </c>
      <c r="E68" s="475">
        <f t="shared" si="0"/>
        <v>1800</v>
      </c>
      <c r="F68" s="476">
        <f t="shared" si="0"/>
        <v>1800</v>
      </c>
      <c r="G68" s="477">
        <v>1864.5848412780479</v>
      </c>
      <c r="H68" s="475">
        <v>1864.5848412780479</v>
      </c>
      <c r="I68" s="475">
        <v>1864.5848412780479</v>
      </c>
      <c r="J68" s="476">
        <v>1864.5848412780479</v>
      </c>
      <c r="K68" s="478">
        <f t="shared" si="3"/>
        <v>1.5801354401805856E-2</v>
      </c>
      <c r="L68" s="438">
        <f t="shared" si="3"/>
        <v>1.5801354401805856E-2</v>
      </c>
      <c r="M68" s="438">
        <f t="shared" si="3"/>
        <v>1.5801354401805856E-2</v>
      </c>
      <c r="N68" s="479">
        <f t="shared" si="3"/>
        <v>1.5801354401805856E-2</v>
      </c>
      <c r="O68" s="437">
        <f t="shared" si="3"/>
        <v>-5.2058083404505906E-3</v>
      </c>
      <c r="P68" s="438">
        <f t="shared" si="3"/>
        <v>-5.2058083404505906E-3</v>
      </c>
      <c r="Q68" s="438">
        <f t="shared" si="3"/>
        <v>-5.2058083404505906E-3</v>
      </c>
      <c r="R68" s="439">
        <f t="shared" si="3"/>
        <v>-5.2058083404505906E-3</v>
      </c>
      <c r="S68" s="480"/>
      <c r="T68" s="481"/>
    </row>
    <row r="69" spans="2:20" ht="15" customHeight="1" x14ac:dyDescent="0.25">
      <c r="B69" s="389">
        <v>2012</v>
      </c>
      <c r="C69" s="474">
        <v>1844</v>
      </c>
      <c r="D69" s="475">
        <f t="shared" si="0"/>
        <v>1844</v>
      </c>
      <c r="E69" s="475">
        <f t="shared" si="0"/>
        <v>1844</v>
      </c>
      <c r="F69" s="476">
        <f t="shared" si="0"/>
        <v>1844</v>
      </c>
      <c r="G69" s="477">
        <v>1873.5488843813389</v>
      </c>
      <c r="H69" s="475">
        <v>1873.5488843813389</v>
      </c>
      <c r="I69" s="475">
        <v>1873.5488843813389</v>
      </c>
      <c r="J69" s="476">
        <v>1873.5488843813389</v>
      </c>
      <c r="K69" s="478">
        <f t="shared" si="3"/>
        <v>2.4444444444444491E-2</v>
      </c>
      <c r="L69" s="438">
        <f t="shared" si="3"/>
        <v>2.4444444444444491E-2</v>
      </c>
      <c r="M69" s="438">
        <f t="shared" si="3"/>
        <v>2.4444444444444491E-2</v>
      </c>
      <c r="N69" s="479">
        <f t="shared" si="3"/>
        <v>2.4444444444444491E-2</v>
      </c>
      <c r="O69" s="437">
        <f t="shared" si="3"/>
        <v>4.8075276087446994E-3</v>
      </c>
      <c r="P69" s="438">
        <f t="shared" si="3"/>
        <v>4.8075276087446994E-3</v>
      </c>
      <c r="Q69" s="438">
        <f t="shared" si="3"/>
        <v>4.8075276087446994E-3</v>
      </c>
      <c r="R69" s="439">
        <f t="shared" si="3"/>
        <v>4.8075276087446994E-3</v>
      </c>
      <c r="S69" s="480"/>
      <c r="T69" s="481"/>
    </row>
    <row r="70" spans="2:20" ht="15" customHeight="1" x14ac:dyDescent="0.25">
      <c r="B70" s="389">
        <v>2013</v>
      </c>
      <c r="C70" s="474">
        <v>1886</v>
      </c>
      <c r="D70" s="475">
        <f t="shared" si="0"/>
        <v>1886</v>
      </c>
      <c r="E70" s="475">
        <f t="shared" si="0"/>
        <v>1886</v>
      </c>
      <c r="F70" s="476">
        <f t="shared" si="0"/>
        <v>1886</v>
      </c>
      <c r="G70" s="477">
        <v>1899.6529257993166</v>
      </c>
      <c r="H70" s="475">
        <v>1899.6529257993166</v>
      </c>
      <c r="I70" s="475">
        <v>1899.6529257993166</v>
      </c>
      <c r="J70" s="476">
        <v>1899.6529257993166</v>
      </c>
      <c r="K70" s="478">
        <f t="shared" si="3"/>
        <v>2.2776572668112838E-2</v>
      </c>
      <c r="L70" s="438">
        <f t="shared" si="3"/>
        <v>2.2776572668112838E-2</v>
      </c>
      <c r="M70" s="438">
        <f t="shared" si="3"/>
        <v>2.2776572668112838E-2</v>
      </c>
      <c r="N70" s="479">
        <f t="shared" si="3"/>
        <v>2.2776572668112838E-2</v>
      </c>
      <c r="O70" s="437">
        <f t="shared" si="3"/>
        <v>1.393293851876054E-2</v>
      </c>
      <c r="P70" s="438">
        <f t="shared" si="3"/>
        <v>1.393293851876054E-2</v>
      </c>
      <c r="Q70" s="438">
        <f t="shared" si="3"/>
        <v>1.393293851876054E-2</v>
      </c>
      <c r="R70" s="439">
        <f t="shared" si="3"/>
        <v>1.393293851876054E-2</v>
      </c>
      <c r="S70" s="480"/>
      <c r="T70" s="481"/>
    </row>
    <row r="71" spans="2:20" ht="15" customHeight="1" x14ac:dyDescent="0.25">
      <c r="B71" s="389">
        <v>2014</v>
      </c>
      <c r="C71" s="474">
        <v>1429.5</v>
      </c>
      <c r="D71" s="475">
        <f t="shared" ref="D71:F77" si="4">C71</f>
        <v>1429.5</v>
      </c>
      <c r="E71" s="475">
        <f t="shared" si="4"/>
        <v>1429.5</v>
      </c>
      <c r="F71" s="476">
        <f t="shared" si="4"/>
        <v>1429.5</v>
      </c>
      <c r="G71" s="477">
        <v>1432.6461584633855</v>
      </c>
      <c r="H71" s="475">
        <v>1432.6461584633855</v>
      </c>
      <c r="I71" s="475">
        <v>1432.6461584633855</v>
      </c>
      <c r="J71" s="476">
        <v>1432.6461584633855</v>
      </c>
      <c r="K71" s="478">
        <f t="shared" si="3"/>
        <v>-0.24204665959703076</v>
      </c>
      <c r="L71" s="438">
        <f t="shared" si="3"/>
        <v>-0.24204665959703076</v>
      </c>
      <c r="M71" s="438">
        <f t="shared" si="3"/>
        <v>-0.24204665959703076</v>
      </c>
      <c r="N71" s="479">
        <f t="shared" si="3"/>
        <v>-0.24204665959703076</v>
      </c>
      <c r="O71" s="437">
        <f t="shared" si="3"/>
        <v>-0.24583794281233173</v>
      </c>
      <c r="P71" s="438">
        <f t="shared" si="3"/>
        <v>-0.24583794281233173</v>
      </c>
      <c r="Q71" s="438">
        <f t="shared" si="3"/>
        <v>-0.24583794281233173</v>
      </c>
      <c r="R71" s="439">
        <f t="shared" si="3"/>
        <v>-0.24583794281233173</v>
      </c>
      <c r="S71" s="480"/>
      <c r="T71" s="481"/>
    </row>
    <row r="72" spans="2:20" ht="15" customHeight="1" x14ac:dyDescent="0.25">
      <c r="B72" s="389">
        <v>2015</v>
      </c>
      <c r="C72" s="474">
        <v>1441.5</v>
      </c>
      <c r="D72" s="475">
        <f t="shared" si="4"/>
        <v>1441.5</v>
      </c>
      <c r="E72" s="475">
        <f t="shared" si="4"/>
        <v>1441.5</v>
      </c>
      <c r="F72" s="476">
        <f t="shared" si="4"/>
        <v>1441.5</v>
      </c>
      <c r="G72" s="477">
        <v>1444.0947000000001</v>
      </c>
      <c r="H72" s="475">
        <v>1444.0947000000001</v>
      </c>
      <c r="I72" s="475">
        <v>1444.0947000000001</v>
      </c>
      <c r="J72" s="476">
        <v>1444.0947000000001</v>
      </c>
      <c r="K72" s="478">
        <f t="shared" si="3"/>
        <v>8.394543546694555E-3</v>
      </c>
      <c r="L72" s="438">
        <f t="shared" si="3"/>
        <v>8.394543546694555E-3</v>
      </c>
      <c r="M72" s="438">
        <f t="shared" si="3"/>
        <v>8.394543546694555E-3</v>
      </c>
      <c r="N72" s="479">
        <f t="shared" si="3"/>
        <v>8.394543546694555E-3</v>
      </c>
      <c r="O72" s="437">
        <f t="shared" si="3"/>
        <v>7.9911857292758182E-3</v>
      </c>
      <c r="P72" s="438">
        <f t="shared" si="3"/>
        <v>7.9911857292758182E-3</v>
      </c>
      <c r="Q72" s="438">
        <f t="shared" si="3"/>
        <v>7.9911857292758182E-3</v>
      </c>
      <c r="R72" s="439">
        <f t="shared" si="3"/>
        <v>7.9911857292758182E-3</v>
      </c>
      <c r="S72" s="480"/>
      <c r="T72" s="481"/>
    </row>
    <row r="73" spans="2:20" ht="15" customHeight="1" x14ac:dyDescent="0.25">
      <c r="B73" s="389">
        <v>2016</v>
      </c>
      <c r="C73" s="474">
        <v>1450.5</v>
      </c>
      <c r="D73" s="475">
        <f t="shared" si="4"/>
        <v>1450.5</v>
      </c>
      <c r="E73" s="475">
        <f t="shared" si="4"/>
        <v>1450.5</v>
      </c>
      <c r="F73" s="476">
        <f t="shared" si="4"/>
        <v>1450.5</v>
      </c>
      <c r="G73" s="477">
        <v>1450.5</v>
      </c>
      <c r="H73" s="475">
        <v>1450.5</v>
      </c>
      <c r="I73" s="475">
        <v>1450.5</v>
      </c>
      <c r="J73" s="476">
        <v>1450.5</v>
      </c>
      <c r="K73" s="478">
        <f t="shared" si="3"/>
        <v>6.2434963579605096E-3</v>
      </c>
      <c r="L73" s="438">
        <f t="shared" si="3"/>
        <v>6.2434963579605096E-3</v>
      </c>
      <c r="M73" s="438">
        <f t="shared" si="3"/>
        <v>6.2434963579605096E-3</v>
      </c>
      <c r="N73" s="479">
        <f t="shared" si="3"/>
        <v>6.2434963579605096E-3</v>
      </c>
      <c r="O73" s="437">
        <f t="shared" si="3"/>
        <v>4.4355124355763831E-3</v>
      </c>
      <c r="P73" s="438">
        <f t="shared" si="3"/>
        <v>4.4355124355763831E-3</v>
      </c>
      <c r="Q73" s="438">
        <f t="shared" si="3"/>
        <v>4.4355124355763831E-3</v>
      </c>
      <c r="R73" s="439">
        <f t="shared" si="3"/>
        <v>4.4355124355763831E-3</v>
      </c>
      <c r="S73" s="482"/>
      <c r="T73" s="481"/>
    </row>
    <row r="74" spans="2:20" ht="15" customHeight="1" x14ac:dyDescent="0.25">
      <c r="B74" s="389">
        <v>2017</v>
      </c>
      <c r="C74" s="474">
        <v>1464</v>
      </c>
      <c r="D74" s="475">
        <f t="shared" si="4"/>
        <v>1464</v>
      </c>
      <c r="E74" s="475">
        <f t="shared" si="4"/>
        <v>1464</v>
      </c>
      <c r="F74" s="476">
        <f t="shared" si="4"/>
        <v>1464</v>
      </c>
      <c r="G74" s="477">
        <v>1448.9579134558387</v>
      </c>
      <c r="H74" s="475">
        <v>1448.9579134558387</v>
      </c>
      <c r="I74" s="475">
        <v>1448.9579134558387</v>
      </c>
      <c r="J74" s="476">
        <v>1448.9579134558387</v>
      </c>
      <c r="K74" s="478">
        <f t="shared" si="3"/>
        <v>9.3071354705274167E-3</v>
      </c>
      <c r="L74" s="438">
        <f t="shared" si="3"/>
        <v>9.3071354705274167E-3</v>
      </c>
      <c r="M74" s="438">
        <f t="shared" si="3"/>
        <v>9.3071354705274167E-3</v>
      </c>
      <c r="N74" s="479">
        <f t="shared" si="3"/>
        <v>9.3071354705274167E-3</v>
      </c>
      <c r="O74" s="437">
        <f t="shared" si="3"/>
        <v>-1.0631413610212581E-3</v>
      </c>
      <c r="P74" s="438">
        <f t="shared" si="3"/>
        <v>-1.0631413610212581E-3</v>
      </c>
      <c r="Q74" s="438">
        <f t="shared" si="3"/>
        <v>-1.0631413610212581E-3</v>
      </c>
      <c r="R74" s="439">
        <f t="shared" si="3"/>
        <v>-1.0631413610212581E-3</v>
      </c>
      <c r="S74" s="482"/>
      <c r="T74" s="481"/>
    </row>
    <row r="75" spans="2:20" ht="15" customHeight="1" x14ac:dyDescent="0.25">
      <c r="B75" s="389">
        <v>2018</v>
      </c>
      <c r="C75" s="474">
        <v>1482.0000000000002</v>
      </c>
      <c r="D75" s="475">
        <f t="shared" si="4"/>
        <v>1482.0000000000002</v>
      </c>
      <c r="E75" s="475">
        <f t="shared" si="4"/>
        <v>1482.0000000000002</v>
      </c>
      <c r="F75" s="476">
        <f t="shared" si="4"/>
        <v>1482.0000000000002</v>
      </c>
      <c r="G75" s="477">
        <v>1440.1664564943258</v>
      </c>
      <c r="H75" s="475">
        <v>1440.1664564943258</v>
      </c>
      <c r="I75" s="475">
        <v>1440.1664564943258</v>
      </c>
      <c r="J75" s="476">
        <v>1440.1664564943258</v>
      </c>
      <c r="K75" s="478">
        <f t="shared" si="3"/>
        <v>1.2295081967213184E-2</v>
      </c>
      <c r="L75" s="438">
        <f t="shared" si="3"/>
        <v>1.2295081967213184E-2</v>
      </c>
      <c r="M75" s="438">
        <f t="shared" si="3"/>
        <v>1.2295081967213184E-2</v>
      </c>
      <c r="N75" s="479">
        <f t="shared" si="3"/>
        <v>1.2295081967213184E-2</v>
      </c>
      <c r="O75" s="437">
        <f t="shared" si="3"/>
        <v>-6.0674343125294294E-3</v>
      </c>
      <c r="P75" s="438">
        <f t="shared" si="3"/>
        <v>-6.0674343125294294E-3</v>
      </c>
      <c r="Q75" s="438">
        <f t="shared" si="3"/>
        <v>-6.0674343125294294E-3</v>
      </c>
      <c r="R75" s="439">
        <f>J75/J74-1</f>
        <v>-6.0674343125294294E-3</v>
      </c>
      <c r="S75" s="482"/>
      <c r="T75" s="481"/>
    </row>
    <row r="76" spans="2:20" ht="15" customHeight="1" x14ac:dyDescent="0.25">
      <c r="B76" s="389">
        <v>2019</v>
      </c>
      <c r="C76" s="474">
        <v>1504.5</v>
      </c>
      <c r="D76" s="475">
        <f t="shared" si="4"/>
        <v>1504.5</v>
      </c>
      <c r="E76" s="475">
        <f t="shared" si="4"/>
        <v>1504.5</v>
      </c>
      <c r="F76" s="476">
        <f t="shared" si="4"/>
        <v>1504.5</v>
      </c>
      <c r="G76" s="477">
        <v>1446.0405833253383</v>
      </c>
      <c r="H76" s="475">
        <v>1446.0405833253383</v>
      </c>
      <c r="I76" s="475">
        <v>1446.0405833253383</v>
      </c>
      <c r="J76" s="476">
        <v>1446.0405833253383</v>
      </c>
      <c r="K76" s="478">
        <f t="shared" si="3"/>
        <v>1.5182186234817596E-2</v>
      </c>
      <c r="L76" s="438">
        <f t="shared" si="3"/>
        <v>1.5182186234817596E-2</v>
      </c>
      <c r="M76" s="438">
        <f t="shared" si="3"/>
        <v>1.5182186234817596E-2</v>
      </c>
      <c r="N76" s="479">
        <f t="shared" si="3"/>
        <v>1.5182186234817596E-2</v>
      </c>
      <c r="O76" s="437">
        <f t="shared" si="3"/>
        <v>4.078783257673857E-3</v>
      </c>
      <c r="P76" s="438">
        <f t="shared" si="3"/>
        <v>4.078783257673857E-3</v>
      </c>
      <c r="Q76" s="438">
        <f t="shared" si="3"/>
        <v>4.078783257673857E-3</v>
      </c>
      <c r="R76" s="439">
        <f>J76/J75-1</f>
        <v>4.078783257673857E-3</v>
      </c>
      <c r="S76" s="482"/>
      <c r="T76" s="481"/>
    </row>
    <row r="77" spans="2:20" ht="15" customHeight="1" x14ac:dyDescent="0.25">
      <c r="B77" s="389">
        <v>2020</v>
      </c>
      <c r="C77" s="474">
        <v>1522.5</v>
      </c>
      <c r="D77" s="475">
        <f t="shared" si="4"/>
        <v>1522.5</v>
      </c>
      <c r="E77" s="475">
        <f t="shared" si="4"/>
        <v>1522.5</v>
      </c>
      <c r="F77" s="476">
        <f t="shared" si="4"/>
        <v>1522.5</v>
      </c>
      <c r="G77" s="477">
        <v>1456.3549126324835</v>
      </c>
      <c r="H77" s="475">
        <v>1456.3549126324835</v>
      </c>
      <c r="I77" s="475">
        <v>1456.3549126324835</v>
      </c>
      <c r="J77" s="476">
        <v>1456.3549126324835</v>
      </c>
      <c r="K77" s="478">
        <f t="shared" si="3"/>
        <v>1.1964107676968982E-2</v>
      </c>
      <c r="L77" s="438">
        <f t="shared" si="3"/>
        <v>1.1964107676968982E-2</v>
      </c>
      <c r="M77" s="438">
        <f t="shared" si="3"/>
        <v>1.1964107676968982E-2</v>
      </c>
      <c r="N77" s="479">
        <f t="shared" si="3"/>
        <v>1.1964107676968982E-2</v>
      </c>
      <c r="O77" s="437">
        <f t="shared" si="3"/>
        <v>7.132807630769511E-3</v>
      </c>
      <c r="P77" s="438">
        <f t="shared" si="3"/>
        <v>7.132807630769511E-3</v>
      </c>
      <c r="Q77" s="438">
        <f t="shared" si="3"/>
        <v>7.132807630769511E-3</v>
      </c>
      <c r="R77" s="439">
        <f>J77/J76-1</f>
        <v>7.132807630769511E-3</v>
      </c>
      <c r="S77" s="482"/>
      <c r="T77" s="481"/>
    </row>
    <row r="78" spans="2:20" ht="15" customHeight="1" x14ac:dyDescent="0.25">
      <c r="B78" s="389">
        <v>2021</v>
      </c>
      <c r="C78" s="477">
        <v>1537.7250000000004</v>
      </c>
      <c r="D78" s="475">
        <v>1537.7250000000004</v>
      </c>
      <c r="E78" s="475">
        <v>1537.7250000000004</v>
      </c>
      <c r="F78" s="476">
        <v>1537.7250000000004</v>
      </c>
      <c r="G78" s="477">
        <f t="shared" ref="G78:J93" si="5">G77*(1+O78)</f>
        <v>1454.9144033222638</v>
      </c>
      <c r="H78" s="475">
        <f t="shared" si="5"/>
        <v>1454.9144033222638</v>
      </c>
      <c r="I78" s="475">
        <f t="shared" si="5"/>
        <v>1454.9144033222638</v>
      </c>
      <c r="J78" s="476">
        <f t="shared" si="5"/>
        <v>1454.9144033222638</v>
      </c>
      <c r="K78" s="478">
        <f t="shared" si="3"/>
        <v>1.0000000000000231E-2</v>
      </c>
      <c r="L78" s="438">
        <f t="shared" si="3"/>
        <v>1.0000000000000231E-2</v>
      </c>
      <c r="M78" s="438">
        <f t="shared" si="3"/>
        <v>1.0000000000000231E-2</v>
      </c>
      <c r="N78" s="479">
        <f t="shared" si="3"/>
        <v>1.0000000000000231E-2</v>
      </c>
      <c r="O78" s="437">
        <v>-9.8911968348158741E-4</v>
      </c>
      <c r="P78" s="438">
        <v>-9.8911968348158741E-4</v>
      </c>
      <c r="Q78" s="438">
        <v>-9.8911968348158741E-4</v>
      </c>
      <c r="R78" s="439">
        <v>-9.8911968348158741E-4</v>
      </c>
      <c r="S78" s="482"/>
      <c r="T78" s="481"/>
    </row>
    <row r="79" spans="2:20" ht="15" customHeight="1" x14ac:dyDescent="0.25">
      <c r="B79" s="406">
        <v>2022</v>
      </c>
      <c r="C79" s="483">
        <v>1557.7154250000006</v>
      </c>
      <c r="D79" s="484">
        <v>1557.7154250000006</v>
      </c>
      <c r="E79" s="484">
        <v>1557.7154250000006</v>
      </c>
      <c r="F79" s="485">
        <v>1557.7154250000006</v>
      </c>
      <c r="G79" s="483">
        <f t="shared" si="5"/>
        <v>1462.1312406403306</v>
      </c>
      <c r="H79" s="484">
        <f t="shared" si="5"/>
        <v>1462.1312406403306</v>
      </c>
      <c r="I79" s="484">
        <f t="shared" si="5"/>
        <v>1462.1312406403306</v>
      </c>
      <c r="J79" s="485">
        <f t="shared" si="5"/>
        <v>1462.1312406403306</v>
      </c>
      <c r="K79" s="486">
        <f t="shared" si="3"/>
        <v>1.3000000000000123E-2</v>
      </c>
      <c r="L79" s="454">
        <f t="shared" si="3"/>
        <v>1.3000000000000123E-2</v>
      </c>
      <c r="M79" s="454">
        <f t="shared" si="3"/>
        <v>1.3000000000000123E-2</v>
      </c>
      <c r="N79" s="487">
        <f t="shared" si="3"/>
        <v>1.3000000000000123E-2</v>
      </c>
      <c r="O79" s="453">
        <v>4.9603174603174427E-3</v>
      </c>
      <c r="P79" s="454">
        <v>4.9603174603174427E-3</v>
      </c>
      <c r="Q79" s="454">
        <v>4.9603174603174427E-3</v>
      </c>
      <c r="R79" s="455">
        <v>4.9603174603174427E-3</v>
      </c>
      <c r="S79" s="482"/>
    </row>
    <row r="80" spans="2:20" ht="15" customHeight="1" x14ac:dyDescent="0.25">
      <c r="B80" s="406">
        <v>2023</v>
      </c>
      <c r="C80" s="483">
        <v>1577.9657255250004</v>
      </c>
      <c r="D80" s="484">
        <v>1577.9657255250004</v>
      </c>
      <c r="E80" s="484">
        <v>1577.9657255250004</v>
      </c>
      <c r="F80" s="485">
        <v>1577.9657255250004</v>
      </c>
      <c r="G80" s="483">
        <f t="shared" si="5"/>
        <v>1463.5760343563782</v>
      </c>
      <c r="H80" s="484">
        <f t="shared" si="5"/>
        <v>1463.5760343563782</v>
      </c>
      <c r="I80" s="484">
        <f t="shared" si="5"/>
        <v>1463.5760343563782</v>
      </c>
      <c r="J80" s="485">
        <f t="shared" si="5"/>
        <v>1463.5760343563782</v>
      </c>
      <c r="K80" s="486">
        <f t="shared" si="3"/>
        <v>1.2999999999999901E-2</v>
      </c>
      <c r="L80" s="454">
        <f t="shared" si="3"/>
        <v>1.2999999999999901E-2</v>
      </c>
      <c r="M80" s="454">
        <f t="shared" si="3"/>
        <v>1.2999999999999901E-2</v>
      </c>
      <c r="N80" s="487">
        <f t="shared" si="3"/>
        <v>1.2999999999999901E-2</v>
      </c>
      <c r="O80" s="453">
        <v>9.8814229249000185E-4</v>
      </c>
      <c r="P80" s="454">
        <v>9.8814229249000185E-4</v>
      </c>
      <c r="Q80" s="454">
        <v>9.8814229249000185E-4</v>
      </c>
      <c r="R80" s="455">
        <v>9.8814229249000185E-4</v>
      </c>
      <c r="S80" s="482"/>
    </row>
    <row r="81" spans="2:19" ht="15" customHeight="1" x14ac:dyDescent="0.25">
      <c r="B81" s="406">
        <v>2024</v>
      </c>
      <c r="C81" s="483">
        <v>1601.6352114078752</v>
      </c>
      <c r="D81" s="484">
        <v>1601.6352114078752</v>
      </c>
      <c r="E81" s="484">
        <v>1601.6352114078752</v>
      </c>
      <c r="F81" s="485">
        <v>1601.6352114078752</v>
      </c>
      <c r="G81" s="483">
        <f t="shared" si="5"/>
        <v>1463.5760343563782</v>
      </c>
      <c r="H81" s="484">
        <f t="shared" si="5"/>
        <v>1463.5760343563782</v>
      </c>
      <c r="I81" s="484">
        <f t="shared" si="5"/>
        <v>1463.5760343563782</v>
      </c>
      <c r="J81" s="485">
        <f t="shared" si="5"/>
        <v>1463.5760343563782</v>
      </c>
      <c r="K81" s="486">
        <f t="shared" si="3"/>
        <v>1.4999999999999902E-2</v>
      </c>
      <c r="L81" s="454">
        <f t="shared" si="3"/>
        <v>1.4999999999999902E-2</v>
      </c>
      <c r="M81" s="454">
        <f t="shared" si="3"/>
        <v>1.4999999999999902E-2</v>
      </c>
      <c r="N81" s="487">
        <f t="shared" si="3"/>
        <v>1.4999999999999902E-2</v>
      </c>
      <c r="O81" s="453">
        <v>0</v>
      </c>
      <c r="P81" s="454">
        <v>0</v>
      </c>
      <c r="Q81" s="454">
        <v>0</v>
      </c>
      <c r="R81" s="455">
        <v>0</v>
      </c>
      <c r="S81" s="482"/>
    </row>
    <row r="82" spans="2:19" ht="15" customHeight="1" x14ac:dyDescent="0.25">
      <c r="B82" s="406">
        <v>2025</v>
      </c>
      <c r="C82" s="483">
        <v>1632.0662804246244</v>
      </c>
      <c r="D82" s="484">
        <v>1632.0662804246244</v>
      </c>
      <c r="E82" s="484">
        <v>1632.0662804246244</v>
      </c>
      <c r="F82" s="485">
        <v>1632.0662804246244</v>
      </c>
      <c r="G82" s="483">
        <f t="shared" si="5"/>
        <v>1465.7336403038321</v>
      </c>
      <c r="H82" s="484">
        <f t="shared" si="5"/>
        <v>1465.7336403038321</v>
      </c>
      <c r="I82" s="484">
        <f t="shared" si="5"/>
        <v>1465.7336403038321</v>
      </c>
      <c r="J82" s="485">
        <f t="shared" si="5"/>
        <v>1465.7336403038321</v>
      </c>
      <c r="K82" s="486">
        <f t="shared" si="3"/>
        <v>1.8999999999999684E-2</v>
      </c>
      <c r="L82" s="454">
        <f t="shared" si="3"/>
        <v>1.8999999999999684E-2</v>
      </c>
      <c r="M82" s="454">
        <f t="shared" si="3"/>
        <v>1.8999999999999684E-2</v>
      </c>
      <c r="N82" s="487">
        <f t="shared" si="3"/>
        <v>1.8999999999999684E-2</v>
      </c>
      <c r="O82" s="453">
        <v>1.4742014742012977E-3</v>
      </c>
      <c r="P82" s="454">
        <v>1.4742014742012977E-3</v>
      </c>
      <c r="Q82" s="454">
        <v>1.4742014742012977E-3</v>
      </c>
      <c r="R82" s="455">
        <v>1.4742014742012977E-3</v>
      </c>
      <c r="S82" s="482"/>
    </row>
    <row r="83" spans="2:19" ht="15" customHeight="1" x14ac:dyDescent="0.25">
      <c r="B83" s="406">
        <v>2026</v>
      </c>
      <c r="C83" s="483">
        <v>1665.8198592032263</v>
      </c>
      <c r="D83" s="484">
        <v>1665.3216709711267</v>
      </c>
      <c r="E83" s="484">
        <v>1664.9895454830601</v>
      </c>
      <c r="F83" s="485">
        <v>1664.4913572509604</v>
      </c>
      <c r="G83" s="483">
        <f t="shared" si="5"/>
        <v>1470.3166688803692</v>
      </c>
      <c r="H83" s="484">
        <f t="shared" si="5"/>
        <v>1469.876948788278</v>
      </c>
      <c r="I83" s="484">
        <f t="shared" si="5"/>
        <v>1469.5838020602171</v>
      </c>
      <c r="J83" s="485">
        <f t="shared" si="5"/>
        <v>1469.1440819681259</v>
      </c>
      <c r="K83" s="486">
        <f t="shared" si="3"/>
        <v>2.0681500000000019E-2</v>
      </c>
      <c r="L83" s="454">
        <f t="shared" si="3"/>
        <v>2.0376249999999985E-2</v>
      </c>
      <c r="M83" s="454">
        <f t="shared" si="3"/>
        <v>2.0172749999999962E-2</v>
      </c>
      <c r="N83" s="487">
        <f t="shared" si="3"/>
        <v>1.9867499999999927E-2</v>
      </c>
      <c r="O83" s="453">
        <v>3.126781326781168E-3</v>
      </c>
      <c r="P83" s="454">
        <v>2.8267813267811681E-3</v>
      </c>
      <c r="Q83" s="454">
        <v>2.626781326781168E-3</v>
      </c>
      <c r="R83" s="455">
        <v>2.3267813267811681E-3</v>
      </c>
      <c r="S83" s="482"/>
    </row>
    <row r="84" spans="2:19" ht="15" customHeight="1" x14ac:dyDescent="0.25">
      <c r="B84" s="406">
        <v>2027</v>
      </c>
      <c r="C84" s="483">
        <v>1703.0725887145877</v>
      </c>
      <c r="D84" s="484">
        <v>1701.5465806189256</v>
      </c>
      <c r="E84" s="484">
        <v>1700.5295798261684</v>
      </c>
      <c r="F84" s="485">
        <v>1699.0045855435592</v>
      </c>
      <c r="G84" s="483">
        <f t="shared" si="5"/>
        <v>1477.3438432889834</v>
      </c>
      <c r="H84" s="484">
        <f t="shared" si="5"/>
        <v>1476.0200954464813</v>
      </c>
      <c r="I84" s="484">
        <f t="shared" si="5"/>
        <v>1475.1378900315412</v>
      </c>
      <c r="J84" s="485">
        <f t="shared" si="5"/>
        <v>1473.8150216292236</v>
      </c>
      <c r="K84" s="486">
        <f t="shared" si="3"/>
        <v>2.2362999999999689E-2</v>
      </c>
      <c r="L84" s="454">
        <f t="shared" si="3"/>
        <v>2.1752499999999841E-2</v>
      </c>
      <c r="M84" s="454">
        <f t="shared" si="3"/>
        <v>2.1345499999999795E-2</v>
      </c>
      <c r="N84" s="487">
        <f t="shared" si="3"/>
        <v>2.073500000000017E-2</v>
      </c>
      <c r="O84" s="453">
        <v>4.7793611793610384E-3</v>
      </c>
      <c r="P84" s="454">
        <v>4.1793611793610385E-3</v>
      </c>
      <c r="Q84" s="454">
        <v>3.7793611793610384E-3</v>
      </c>
      <c r="R84" s="455">
        <v>3.1793611793610381E-3</v>
      </c>
      <c r="S84" s="482"/>
    </row>
    <row r="85" spans="2:19" ht="15" customHeight="1" x14ac:dyDescent="0.25">
      <c r="B85" s="406">
        <v>2028</v>
      </c>
      <c r="C85" s="483">
        <v>1744.0221175739355</v>
      </c>
      <c r="D85" s="484">
        <v>1740.9012260954157</v>
      </c>
      <c r="E85" s="484">
        <v>1738.8225300370889</v>
      </c>
      <c r="F85" s="485">
        <v>1735.7073321027638</v>
      </c>
      <c r="G85" s="483">
        <f t="shared" si="5"/>
        <v>1486.8460317729191</v>
      </c>
      <c r="H85" s="484">
        <f t="shared" si="5"/>
        <v>1484.185351576451</v>
      </c>
      <c r="I85" s="484">
        <f t="shared" si="5"/>
        <v>1482.4131831191585</v>
      </c>
      <c r="J85" s="485">
        <f t="shared" si="5"/>
        <v>1479.7573568884213</v>
      </c>
      <c r="K85" s="486">
        <f t="shared" si="3"/>
        <v>2.4044500000000024E-2</v>
      </c>
      <c r="L85" s="454">
        <f t="shared" si="3"/>
        <v>2.3128750000000142E-2</v>
      </c>
      <c r="M85" s="454">
        <f t="shared" si="3"/>
        <v>2.2518249999999851E-2</v>
      </c>
      <c r="N85" s="487">
        <f t="shared" si="3"/>
        <v>2.1602499999999969E-2</v>
      </c>
      <c r="O85" s="453">
        <v>6.4319410319409083E-3</v>
      </c>
      <c r="P85" s="454">
        <v>5.5319410319409094E-3</v>
      </c>
      <c r="Q85" s="454">
        <v>4.9319410319409087E-3</v>
      </c>
      <c r="R85" s="455">
        <v>4.0319410319409089E-3</v>
      </c>
      <c r="S85" s="482"/>
    </row>
    <row r="86" spans="2:19" ht="15" customHeight="1" x14ac:dyDescent="0.25">
      <c r="B86" s="406">
        <v>2029</v>
      </c>
      <c r="C86" s="483">
        <v>1788.8888305706428</v>
      </c>
      <c r="D86" s="484">
        <v>1783.5620106408837</v>
      </c>
      <c r="E86" s="484">
        <v>1780.0169745961978</v>
      </c>
      <c r="F86" s="485">
        <v>1774.7086758551129</v>
      </c>
      <c r="G86" s="483">
        <f t="shared" si="5"/>
        <v>1498.8664695688542</v>
      </c>
      <c r="H86" s="484">
        <f t="shared" si="5"/>
        <v>1494.4032566258788</v>
      </c>
      <c r="I86" s="484">
        <f t="shared" si="5"/>
        <v>1491.432957091336</v>
      </c>
      <c r="J86" s="485">
        <f t="shared" si="5"/>
        <v>1486.9852626021661</v>
      </c>
      <c r="K86" s="486">
        <f t="shared" si="3"/>
        <v>2.5726000000000138E-2</v>
      </c>
      <c r="L86" s="454">
        <f t="shared" si="3"/>
        <v>2.4504999999999999E-2</v>
      </c>
      <c r="M86" s="454">
        <f t="shared" si="3"/>
        <v>2.3691000000000129E-2</v>
      </c>
      <c r="N86" s="487">
        <f t="shared" si="3"/>
        <v>2.246999999999999E-2</v>
      </c>
      <c r="O86" s="453">
        <v>8.0845208845207791E-3</v>
      </c>
      <c r="P86" s="454">
        <v>6.8845208845207794E-3</v>
      </c>
      <c r="Q86" s="454">
        <v>6.084520884520779E-3</v>
      </c>
      <c r="R86" s="455">
        <v>4.8845208845207785E-3</v>
      </c>
      <c r="S86" s="482"/>
    </row>
    <row r="87" spans="2:19" ht="15" customHeight="1" x14ac:dyDescent="0.25">
      <c r="B87" s="406">
        <v>2030</v>
      </c>
      <c r="C87" s="483">
        <v>1837.9178011945078</v>
      </c>
      <c r="D87" s="484">
        <v>1829.7228249287832</v>
      </c>
      <c r="E87" s="484">
        <v>1824.2748716483138</v>
      </c>
      <c r="F87" s="485">
        <v>1816.1259395778814</v>
      </c>
      <c r="G87" s="483">
        <f t="shared" si="5"/>
        <v>1513.4610833745085</v>
      </c>
      <c r="H87" s="484">
        <f t="shared" si="5"/>
        <v>1506.7128067925576</v>
      </c>
      <c r="I87" s="484">
        <f t="shared" si="5"/>
        <v>1502.2266076444378</v>
      </c>
      <c r="J87" s="485">
        <f t="shared" si="5"/>
        <v>1495.5162468482986</v>
      </c>
      <c r="K87" s="486">
        <f t="shared" si="3"/>
        <v>2.7407500000000029E-2</v>
      </c>
      <c r="L87" s="454">
        <f t="shared" si="3"/>
        <v>2.5881250000000078E-2</v>
      </c>
      <c r="M87" s="454">
        <f t="shared" si="3"/>
        <v>2.4863749999999962E-2</v>
      </c>
      <c r="N87" s="487">
        <f t="shared" si="3"/>
        <v>2.3337499999999789E-2</v>
      </c>
      <c r="O87" s="453">
        <v>9.7371007371006481E-3</v>
      </c>
      <c r="P87" s="454">
        <v>8.2371007371006503E-3</v>
      </c>
      <c r="Q87" s="454">
        <v>7.2371007371006494E-3</v>
      </c>
      <c r="R87" s="455">
        <v>5.7371007371006489E-3</v>
      </c>
      <c r="S87" s="482"/>
    </row>
    <row r="88" spans="2:19" ht="15" customHeight="1" x14ac:dyDescent="0.25">
      <c r="B88" s="406">
        <v>2031</v>
      </c>
      <c r="C88" s="483">
        <v>1891.3809921134546</v>
      </c>
      <c r="D88" s="484">
        <v>1879.5964948292794</v>
      </c>
      <c r="E88" s="484">
        <v>1871.7726043439854</v>
      </c>
      <c r="F88" s="485">
        <v>1860.0852679453642</v>
      </c>
      <c r="G88" s="483">
        <f t="shared" si="5"/>
        <v>1530.698921699056</v>
      </c>
      <c r="H88" s="484">
        <f t="shared" si="5"/>
        <v>1521.1617013500791</v>
      </c>
      <c r="I88" s="484">
        <f t="shared" si="5"/>
        <v>1514.829809055894</v>
      </c>
      <c r="J88" s="485">
        <f t="shared" si="5"/>
        <v>1505.3712212317068</v>
      </c>
      <c r="K88" s="486">
        <f t="shared" si="3"/>
        <v>2.908899999999992E-2</v>
      </c>
      <c r="L88" s="454">
        <f t="shared" si="3"/>
        <v>2.7257499999999935E-2</v>
      </c>
      <c r="M88" s="454">
        <f t="shared" si="3"/>
        <v>2.603650000000024E-2</v>
      </c>
      <c r="N88" s="487">
        <f t="shared" si="3"/>
        <v>2.4205000000000032E-2</v>
      </c>
      <c r="O88" s="453">
        <v>1.1389680589680517E-2</v>
      </c>
      <c r="P88" s="454">
        <v>9.5896805896805212E-3</v>
      </c>
      <c r="Q88" s="454">
        <v>8.3896805896805197E-3</v>
      </c>
      <c r="R88" s="455">
        <v>6.5896805896805185E-3</v>
      </c>
      <c r="S88" s="482"/>
    </row>
    <row r="89" spans="2:19" ht="15" customHeight="1" x14ac:dyDescent="0.25">
      <c r="B89" s="406">
        <v>2032</v>
      </c>
      <c r="C89" s="483">
        <v>1949.5797309312818</v>
      </c>
      <c r="D89" s="484">
        <v>1933.4163909630975</v>
      </c>
      <c r="E89" s="484">
        <v>1922.7021330787318</v>
      </c>
      <c r="F89" s="485">
        <v>1906.7222558259245</v>
      </c>
      <c r="G89" s="483">
        <f t="shared" si="5"/>
        <v>1550.6626956945422</v>
      </c>
      <c r="H89" s="484">
        <f t="shared" si="5"/>
        <v>1537.8066488610436</v>
      </c>
      <c r="I89" s="484">
        <f t="shared" si="5"/>
        <v>1529.2847096196049</v>
      </c>
      <c r="J89" s="485">
        <f t="shared" si="5"/>
        <v>1516.5745859223969</v>
      </c>
      <c r="K89" s="486">
        <f t="shared" si="3"/>
        <v>3.0770500000000034E-2</v>
      </c>
      <c r="L89" s="454">
        <f t="shared" si="3"/>
        <v>2.8633750000000013E-2</v>
      </c>
      <c r="M89" s="454">
        <f t="shared" si="3"/>
        <v>2.7209249999999852E-2</v>
      </c>
      <c r="N89" s="487">
        <f t="shared" si="3"/>
        <v>2.5072500000000053E-2</v>
      </c>
      <c r="O89" s="453">
        <v>1.3042260442260388E-2</v>
      </c>
      <c r="P89" s="454">
        <v>1.094226044226039E-2</v>
      </c>
      <c r="Q89" s="454">
        <v>9.5422604422603901E-3</v>
      </c>
      <c r="R89" s="455">
        <v>7.4422604422603889E-3</v>
      </c>
      <c r="S89" s="482"/>
    </row>
    <row r="90" spans="2:19" ht="15" customHeight="1" x14ac:dyDescent="0.25">
      <c r="B90" s="406">
        <v>2033</v>
      </c>
      <c r="C90" s="483">
        <v>2012.8474923594642</v>
      </c>
      <c r="D90" s="484">
        <v>1991.4382168559002</v>
      </c>
      <c r="E90" s="484">
        <v>1977.2722650197729</v>
      </c>
      <c r="F90" s="485">
        <v>1956.1826311420489</v>
      </c>
      <c r="G90" s="483">
        <f t="shared" si="5"/>
        <v>1573.4494363589401</v>
      </c>
      <c r="H90" s="484">
        <f t="shared" si="5"/>
        <v>1556.7137360131335</v>
      </c>
      <c r="I90" s="484">
        <f t="shared" si="5"/>
        <v>1545.6401653543278</v>
      </c>
      <c r="J90" s="485">
        <f t="shared" si="5"/>
        <v>1529.1543299078364</v>
      </c>
      <c r="K90" s="486">
        <f t="shared" si="3"/>
        <v>3.2452000000000147E-2</v>
      </c>
      <c r="L90" s="454">
        <f t="shared" si="3"/>
        <v>3.0010000000000092E-2</v>
      </c>
      <c r="M90" s="454">
        <f t="shared" si="3"/>
        <v>2.8382000000000351E-2</v>
      </c>
      <c r="N90" s="487">
        <f t="shared" si="3"/>
        <v>2.5939999999999852E-2</v>
      </c>
      <c r="O90" s="453">
        <v>1.4694840294840257E-2</v>
      </c>
      <c r="P90" s="454">
        <v>1.2294840294840259E-2</v>
      </c>
      <c r="Q90" s="454">
        <v>1.069484029484026E-2</v>
      </c>
      <c r="R90" s="455">
        <v>8.2948402948402594E-3</v>
      </c>
      <c r="S90" s="482"/>
    </row>
    <row r="91" spans="2:19" ht="15" customHeight="1" x14ac:dyDescent="0.25">
      <c r="B91" s="406">
        <v>2034</v>
      </c>
      <c r="C91" s="483">
        <v>2081.5530222399161</v>
      </c>
      <c r="D91" s="484">
        <v>2053.9419945896934</v>
      </c>
      <c r="E91" s="484">
        <v>2035.7100524943658</v>
      </c>
      <c r="F91" s="485">
        <v>2008.6229970263896</v>
      </c>
      <c r="G91" s="483">
        <f t="shared" si="5"/>
        <v>1599.1712753758211</v>
      </c>
      <c r="H91" s="484">
        <f>H90*(1+P91)</f>
        <v>1577.9588624177647</v>
      </c>
      <c r="I91" s="484">
        <f>I90*(1+Q91)</f>
        <v>1563.9520137900083</v>
      </c>
      <c r="J91" s="485">
        <f>J90*(1+R91)</f>
        <v>1543.1421470337502</v>
      </c>
      <c r="K91" s="486">
        <f t="shared" si="3"/>
        <v>3.4133500000000039E-2</v>
      </c>
      <c r="L91" s="454">
        <f t="shared" si="3"/>
        <v>3.1386249999999949E-2</v>
      </c>
      <c r="M91" s="454">
        <f t="shared" si="3"/>
        <v>2.9554749999999741E-2</v>
      </c>
      <c r="N91" s="487">
        <f t="shared" si="3"/>
        <v>2.6807500000000095E-2</v>
      </c>
      <c r="O91" s="453">
        <v>1.6347420147420126E-2</v>
      </c>
      <c r="P91" s="454">
        <v>1.3647420147420129E-2</v>
      </c>
      <c r="Q91" s="454">
        <v>1.1847420147420129E-2</v>
      </c>
      <c r="R91" s="455">
        <v>9.147420147420128E-3</v>
      </c>
      <c r="S91" s="482"/>
    </row>
    <row r="92" spans="2:19" ht="15" customHeight="1" x14ac:dyDescent="0.25">
      <c r="B92" s="406">
        <v>2035</v>
      </c>
      <c r="C92" s="483">
        <v>2156.1038437314392</v>
      </c>
      <c r="D92" s="484">
        <v>2121.2342691874383</v>
      </c>
      <c r="E92" s="484">
        <v>2098.2623331323862</v>
      </c>
      <c r="F92" s="485">
        <v>2064.2116384690953</v>
      </c>
      <c r="G92" s="483">
        <f t="shared" si="5"/>
        <v>1627.956358332586</v>
      </c>
      <c r="H92" s="484">
        <f t="shared" si="5"/>
        <v>1601.6282453540312</v>
      </c>
      <c r="I92" s="484">
        <f t="shared" si="5"/>
        <v>1584.2833899692782</v>
      </c>
      <c r="J92" s="485">
        <f t="shared" si="5"/>
        <v>1558.5735685040877</v>
      </c>
      <c r="K92" s="486">
        <f t="shared" si="3"/>
        <v>3.5815000000000152E-2</v>
      </c>
      <c r="L92" s="454">
        <f t="shared" si="3"/>
        <v>3.2762500000000028E-2</v>
      </c>
      <c r="M92" s="454">
        <f t="shared" si="3"/>
        <v>3.0727499999999797E-2</v>
      </c>
      <c r="N92" s="487">
        <f t="shared" si="3"/>
        <v>2.7675000000000116E-2</v>
      </c>
      <c r="O92" s="453">
        <v>1.8000000000000002E-2</v>
      </c>
      <c r="P92" s="454">
        <v>1.4999999999999999E-2</v>
      </c>
      <c r="Q92" s="454">
        <v>1.3000000000000001E-2</v>
      </c>
      <c r="R92" s="455">
        <v>0.01</v>
      </c>
      <c r="S92" s="482"/>
    </row>
    <row r="93" spans="2:19" ht="15" customHeight="1" x14ac:dyDescent="0.25">
      <c r="B93" s="406">
        <v>2036</v>
      </c>
      <c r="C93" s="483">
        <v>2233.3247028946807</v>
      </c>
      <c r="D93" s="484">
        <v>2190.7312069316922</v>
      </c>
      <c r="E93" s="484">
        <v>2162.7366889737118</v>
      </c>
      <c r="F93" s="485">
        <v>2121.3386955637275</v>
      </c>
      <c r="G93" s="483">
        <f t="shared" si="5"/>
        <v>1657.2595727825726</v>
      </c>
      <c r="H93" s="484">
        <f t="shared" si="5"/>
        <v>1625.6526690343414</v>
      </c>
      <c r="I93" s="484">
        <f t="shared" si="5"/>
        <v>1604.8790740388788</v>
      </c>
      <c r="J93" s="485">
        <f t="shared" si="5"/>
        <v>1574.1593041891285</v>
      </c>
      <c r="K93" s="486">
        <f t="shared" ref="K93:N127" si="6">C93/C92-1</f>
        <v>3.5815000000000152E-2</v>
      </c>
      <c r="L93" s="454">
        <f t="shared" si="6"/>
        <v>3.276250000000025E-2</v>
      </c>
      <c r="M93" s="454">
        <f t="shared" si="6"/>
        <v>3.0727500000000019E-2</v>
      </c>
      <c r="N93" s="487">
        <f t="shared" si="6"/>
        <v>2.7674999999999894E-2</v>
      </c>
      <c r="O93" s="453">
        <v>1.8000000000000002E-2</v>
      </c>
      <c r="P93" s="454">
        <v>1.4999999999999999E-2</v>
      </c>
      <c r="Q93" s="454">
        <v>1.3000000000000001E-2</v>
      </c>
      <c r="R93" s="455">
        <v>0.01</v>
      </c>
      <c r="S93" s="482"/>
    </row>
    <row r="94" spans="2:19" ht="15" customHeight="1" x14ac:dyDescent="0.25">
      <c r="B94" s="406">
        <v>2037</v>
      </c>
      <c r="C94" s="483">
        <v>2313.3112271288537</v>
      </c>
      <c r="D94" s="484">
        <v>2262.5050380987914</v>
      </c>
      <c r="E94" s="484">
        <v>2229.1921805841516</v>
      </c>
      <c r="F94" s="485">
        <v>2180.046743963454</v>
      </c>
      <c r="G94" s="483">
        <f t="shared" ref="G94:J109" si="7">G93*(1+O94)</f>
        <v>1687.090245092659</v>
      </c>
      <c r="H94" s="484">
        <f t="shared" si="7"/>
        <v>1650.0374590698564</v>
      </c>
      <c r="I94" s="484">
        <f t="shared" si="7"/>
        <v>1625.7425020013841</v>
      </c>
      <c r="J94" s="485">
        <f t="shared" si="7"/>
        <v>1589.9008972310198</v>
      </c>
      <c r="K94" s="486">
        <f t="shared" si="6"/>
        <v>3.581499999999993E-2</v>
      </c>
      <c r="L94" s="454">
        <f t="shared" si="6"/>
        <v>3.2762499999999806E-2</v>
      </c>
      <c r="M94" s="454">
        <f t="shared" si="6"/>
        <v>3.0727500000000019E-2</v>
      </c>
      <c r="N94" s="487">
        <f t="shared" si="6"/>
        <v>2.7675000000000116E-2</v>
      </c>
      <c r="O94" s="453">
        <v>1.8000000000000002E-2</v>
      </c>
      <c r="P94" s="454">
        <v>1.4999999999999999E-2</v>
      </c>
      <c r="Q94" s="454">
        <v>1.3000000000000001E-2</v>
      </c>
      <c r="R94" s="455">
        <v>0.01</v>
      </c>
      <c r="S94" s="482"/>
    </row>
    <row r="95" spans="2:19" ht="15" customHeight="1" x14ac:dyDescent="0.25">
      <c r="B95" s="406">
        <v>2038</v>
      </c>
      <c r="C95" s="483">
        <v>2396.1624687284743</v>
      </c>
      <c r="D95" s="484">
        <v>2336.6303594095029</v>
      </c>
      <c r="E95" s="484">
        <v>2297.6896833130513</v>
      </c>
      <c r="F95" s="485">
        <v>2240.3795376026424</v>
      </c>
      <c r="G95" s="483">
        <f t="shared" si="7"/>
        <v>1717.4578695043269</v>
      </c>
      <c r="H95" s="484">
        <f t="shared" si="7"/>
        <v>1674.7880209559041</v>
      </c>
      <c r="I95" s="484">
        <f t="shared" si="7"/>
        <v>1646.8771545274019</v>
      </c>
      <c r="J95" s="485">
        <f t="shared" si="7"/>
        <v>1605.79990620333</v>
      </c>
      <c r="K95" s="486">
        <f t="shared" si="6"/>
        <v>3.5815000000000374E-2</v>
      </c>
      <c r="L95" s="454">
        <f t="shared" si="6"/>
        <v>3.2762500000000028E-2</v>
      </c>
      <c r="M95" s="454">
        <f t="shared" si="6"/>
        <v>3.0727500000000019E-2</v>
      </c>
      <c r="N95" s="487">
        <f t="shared" si="6"/>
        <v>2.7674999999999894E-2</v>
      </c>
      <c r="O95" s="453">
        <v>1.8000000000000002E-2</v>
      </c>
      <c r="P95" s="454">
        <v>1.4999999999999999E-2</v>
      </c>
      <c r="Q95" s="454">
        <v>1.3000000000000001E-2</v>
      </c>
      <c r="R95" s="455">
        <v>0.01</v>
      </c>
      <c r="S95" s="482"/>
    </row>
    <row r="96" spans="2:19" ht="15" customHeight="1" x14ac:dyDescent="0.25">
      <c r="B96" s="406">
        <v>2039</v>
      </c>
      <c r="C96" s="483">
        <v>2481.9810275459845</v>
      </c>
      <c r="D96" s="484">
        <v>2413.1842115596569</v>
      </c>
      <c r="E96" s="484">
        <v>2368.2919430570528</v>
      </c>
      <c r="F96" s="485">
        <v>2302.3820413057956</v>
      </c>
      <c r="G96" s="483">
        <f t="shared" si="7"/>
        <v>1748.3721111554048</v>
      </c>
      <c r="H96" s="484">
        <f t="shared" si="7"/>
        <v>1699.9098412702426</v>
      </c>
      <c r="I96" s="484">
        <f t="shared" si="7"/>
        <v>1668.286557536258</v>
      </c>
      <c r="J96" s="485">
        <f t="shared" si="7"/>
        <v>1621.8579052653633</v>
      </c>
      <c r="K96" s="486">
        <f t="shared" si="6"/>
        <v>3.581499999999993E-2</v>
      </c>
      <c r="L96" s="454">
        <f t="shared" si="6"/>
        <v>3.2762500000000028E-2</v>
      </c>
      <c r="M96" s="454">
        <f t="shared" si="6"/>
        <v>3.0727499999999797E-2</v>
      </c>
      <c r="N96" s="487">
        <f t="shared" si="6"/>
        <v>2.7675000000000116E-2</v>
      </c>
      <c r="O96" s="453">
        <v>1.8000000000000002E-2</v>
      </c>
      <c r="P96" s="454">
        <v>1.4999999999999999E-2</v>
      </c>
      <c r="Q96" s="454">
        <v>1.3000000000000001E-2</v>
      </c>
      <c r="R96" s="455">
        <v>0.01</v>
      </c>
      <c r="S96" s="482"/>
    </row>
    <row r="97" spans="2:19" ht="15" customHeight="1" x14ac:dyDescent="0.25">
      <c r="B97" s="406">
        <v>2040</v>
      </c>
      <c r="C97" s="483">
        <v>2570.8731780475441</v>
      </c>
      <c r="D97" s="484">
        <v>2492.2461592908799</v>
      </c>
      <c r="E97" s="484">
        <v>2441.0636337373385</v>
      </c>
      <c r="F97" s="485">
        <v>2366.1004642989342</v>
      </c>
      <c r="G97" s="483">
        <f t="shared" si="7"/>
        <v>1779.8428091562021</v>
      </c>
      <c r="H97" s="484">
        <f t="shared" si="7"/>
        <v>1725.408488889296</v>
      </c>
      <c r="I97" s="484">
        <f t="shared" si="7"/>
        <v>1689.9742827842292</v>
      </c>
      <c r="J97" s="485">
        <f t="shared" si="7"/>
        <v>1638.076484318017</v>
      </c>
      <c r="K97" s="486">
        <f t="shared" si="6"/>
        <v>3.5815000000000152E-2</v>
      </c>
      <c r="L97" s="454">
        <f t="shared" si="6"/>
        <v>3.2762499999999806E-2</v>
      </c>
      <c r="M97" s="454">
        <f t="shared" si="6"/>
        <v>3.0727500000000019E-2</v>
      </c>
      <c r="N97" s="487">
        <f t="shared" si="6"/>
        <v>2.7675000000000338E-2</v>
      </c>
      <c r="O97" s="453">
        <v>1.8000000000000002E-2</v>
      </c>
      <c r="P97" s="454">
        <v>1.4999999999999999E-2</v>
      </c>
      <c r="Q97" s="454">
        <v>1.3000000000000001E-2</v>
      </c>
      <c r="R97" s="455">
        <v>0.01</v>
      </c>
      <c r="S97" s="482"/>
    </row>
    <row r="98" spans="2:19" ht="15" customHeight="1" x14ac:dyDescent="0.25">
      <c r="B98" s="406">
        <v>2041</v>
      </c>
      <c r="C98" s="483">
        <v>2662.9490009193173</v>
      </c>
      <c r="D98" s="484">
        <v>2573.8983740846475</v>
      </c>
      <c r="E98" s="484">
        <v>2516.0714165430022</v>
      </c>
      <c r="F98" s="485">
        <v>2431.5822946484072</v>
      </c>
      <c r="G98" s="483">
        <f t="shared" si="7"/>
        <v>1811.8799797210138</v>
      </c>
      <c r="H98" s="484">
        <f t="shared" si="7"/>
        <v>1751.2896162226352</v>
      </c>
      <c r="I98" s="484">
        <f t="shared" si="7"/>
        <v>1711.9439484604241</v>
      </c>
      <c r="J98" s="485">
        <f t="shared" si="7"/>
        <v>1654.4572491611973</v>
      </c>
      <c r="K98" s="486">
        <f t="shared" si="6"/>
        <v>3.5815000000000152E-2</v>
      </c>
      <c r="L98" s="454">
        <f t="shared" si="6"/>
        <v>3.2762500000000028E-2</v>
      </c>
      <c r="M98" s="454">
        <f t="shared" si="6"/>
        <v>3.0727499999999797E-2</v>
      </c>
      <c r="N98" s="487">
        <f t="shared" si="6"/>
        <v>2.7675000000000116E-2</v>
      </c>
      <c r="O98" s="453">
        <v>1.8000000000000002E-2</v>
      </c>
      <c r="P98" s="454">
        <v>1.4999999999999999E-2</v>
      </c>
      <c r="Q98" s="454">
        <v>1.3000000000000001E-2</v>
      </c>
      <c r="R98" s="455">
        <v>0.01</v>
      </c>
      <c r="S98" s="482"/>
    </row>
    <row r="99" spans="2:19" ht="15" customHeight="1" x14ac:dyDescent="0.25">
      <c r="B99" s="406">
        <v>2042</v>
      </c>
      <c r="C99" s="483">
        <v>2758.3225193872431</v>
      </c>
      <c r="D99" s="484">
        <v>2658.2257195655957</v>
      </c>
      <c r="E99" s="484">
        <v>2593.3840009948271</v>
      </c>
      <c r="F99" s="485">
        <v>2498.8763346528021</v>
      </c>
      <c r="G99" s="483">
        <f t="shared" si="7"/>
        <v>1844.4938193559922</v>
      </c>
      <c r="H99" s="484">
        <f t="shared" si="7"/>
        <v>1777.5589604659747</v>
      </c>
      <c r="I99" s="484">
        <f t="shared" si="7"/>
        <v>1734.1992197904094</v>
      </c>
      <c r="J99" s="485">
        <f t="shared" si="7"/>
        <v>1671.0018216528092</v>
      </c>
      <c r="K99" s="486">
        <f t="shared" si="6"/>
        <v>3.5815000000000152E-2</v>
      </c>
      <c r="L99" s="454">
        <f t="shared" si="6"/>
        <v>3.2762500000000028E-2</v>
      </c>
      <c r="M99" s="454">
        <f t="shared" si="6"/>
        <v>3.0727500000000019E-2</v>
      </c>
      <c r="N99" s="487">
        <f t="shared" si="6"/>
        <v>2.7675000000000116E-2</v>
      </c>
      <c r="O99" s="453">
        <v>1.8000000000000002E-2</v>
      </c>
      <c r="P99" s="454">
        <v>1.4999999999999999E-2</v>
      </c>
      <c r="Q99" s="454">
        <v>1.3000000000000001E-2</v>
      </c>
      <c r="R99" s="455">
        <v>0.01</v>
      </c>
      <c r="S99" s="482"/>
    </row>
    <row r="100" spans="2:19" ht="15" customHeight="1" x14ac:dyDescent="0.25">
      <c r="B100" s="406">
        <v>2043</v>
      </c>
      <c r="C100" s="483">
        <v>2857.1118404190975</v>
      </c>
      <c r="D100" s="484">
        <v>2745.3158397028637</v>
      </c>
      <c r="E100" s="484">
        <v>2673.0722078853955</v>
      </c>
      <c r="F100" s="485">
        <v>2568.0327372143183</v>
      </c>
      <c r="G100" s="483">
        <f t="shared" si="7"/>
        <v>1877.6947081044</v>
      </c>
      <c r="H100" s="484">
        <f t="shared" si="7"/>
        <v>1804.2223448729642</v>
      </c>
      <c r="I100" s="484">
        <f t="shared" si="7"/>
        <v>1756.7438096476847</v>
      </c>
      <c r="J100" s="485">
        <f t="shared" si="7"/>
        <v>1687.7118398693374</v>
      </c>
      <c r="K100" s="486">
        <f t="shared" si="6"/>
        <v>3.5815000000000152E-2</v>
      </c>
      <c r="L100" s="454">
        <f t="shared" si="6"/>
        <v>3.2762500000000028E-2</v>
      </c>
      <c r="M100" s="454">
        <f t="shared" si="6"/>
        <v>3.0727500000000019E-2</v>
      </c>
      <c r="N100" s="487">
        <f t="shared" si="6"/>
        <v>2.7674999999999894E-2</v>
      </c>
      <c r="O100" s="453">
        <v>1.8000000000000002E-2</v>
      </c>
      <c r="P100" s="454">
        <v>1.4999999999999999E-2</v>
      </c>
      <c r="Q100" s="454">
        <v>1.3000000000000001E-2</v>
      </c>
      <c r="R100" s="455">
        <v>0.01</v>
      </c>
      <c r="S100" s="482"/>
    </row>
    <row r="101" spans="2:19" ht="15" customHeight="1" x14ac:dyDescent="0.25">
      <c r="B101" s="406">
        <v>2044</v>
      </c>
      <c r="C101" s="483">
        <v>2959.4393009837072</v>
      </c>
      <c r="D101" s="484">
        <v>2835.259249901128</v>
      </c>
      <c r="E101" s="484">
        <v>2755.2090341531939</v>
      </c>
      <c r="F101" s="485">
        <v>2639.1030432167249</v>
      </c>
      <c r="G101" s="483">
        <f t="shared" si="7"/>
        <v>1911.4932128502792</v>
      </c>
      <c r="H101" s="484">
        <f t="shared" si="7"/>
        <v>1831.2856800460584</v>
      </c>
      <c r="I101" s="484">
        <f t="shared" si="7"/>
        <v>1779.5814791731043</v>
      </c>
      <c r="J101" s="485">
        <f t="shared" si="7"/>
        <v>1704.5889582680309</v>
      </c>
      <c r="K101" s="486">
        <f t="shared" si="6"/>
        <v>3.581499999999993E-2</v>
      </c>
      <c r="L101" s="454">
        <f t="shared" si="6"/>
        <v>3.2762499999999806E-2</v>
      </c>
      <c r="M101" s="454">
        <f t="shared" si="6"/>
        <v>3.0727500000000019E-2</v>
      </c>
      <c r="N101" s="487">
        <f t="shared" si="6"/>
        <v>2.7675000000000116E-2</v>
      </c>
      <c r="O101" s="453">
        <v>1.8000000000000002E-2</v>
      </c>
      <c r="P101" s="454">
        <v>1.4999999999999999E-2</v>
      </c>
      <c r="Q101" s="454">
        <v>1.3000000000000001E-2</v>
      </c>
      <c r="R101" s="455">
        <v>0.01</v>
      </c>
      <c r="S101" s="482"/>
    </row>
    <row r="102" spans="2:19" ht="15" customHeight="1" x14ac:dyDescent="0.25">
      <c r="B102" s="406">
        <v>2045</v>
      </c>
      <c r="C102" s="483">
        <v>3065.4316195484389</v>
      </c>
      <c r="D102" s="484">
        <v>2928.1494310760131</v>
      </c>
      <c r="E102" s="484">
        <v>2839.8697197501365</v>
      </c>
      <c r="F102" s="485">
        <v>2712.140219937748</v>
      </c>
      <c r="G102" s="483">
        <f t="shared" si="7"/>
        <v>1945.9000906815843</v>
      </c>
      <c r="H102" s="484">
        <f t="shared" si="7"/>
        <v>1858.754965246749</v>
      </c>
      <c r="I102" s="484">
        <f t="shared" si="7"/>
        <v>1802.7160384023546</v>
      </c>
      <c r="J102" s="485">
        <f t="shared" si="7"/>
        <v>1721.6348478507111</v>
      </c>
      <c r="K102" s="486">
        <f t="shared" si="6"/>
        <v>3.5815000000000152E-2</v>
      </c>
      <c r="L102" s="454">
        <f t="shared" si="6"/>
        <v>3.2762499999999806E-2</v>
      </c>
      <c r="M102" s="454">
        <f t="shared" si="6"/>
        <v>3.0727500000000019E-2</v>
      </c>
      <c r="N102" s="487">
        <f t="shared" si="6"/>
        <v>2.7675000000000116E-2</v>
      </c>
      <c r="O102" s="453">
        <v>1.8000000000000002E-2</v>
      </c>
      <c r="P102" s="454">
        <v>1.4999999999999999E-2</v>
      </c>
      <c r="Q102" s="454">
        <v>1.3000000000000001E-2</v>
      </c>
      <c r="R102" s="455">
        <v>0.01</v>
      </c>
      <c r="S102" s="482"/>
    </row>
    <row r="103" spans="2:19" ht="15" customHeight="1" x14ac:dyDescent="0.25">
      <c r="B103" s="406">
        <v>2046</v>
      </c>
      <c r="C103" s="483">
        <v>3175.2200530025661</v>
      </c>
      <c r="D103" s="484">
        <v>3024.0829268116413</v>
      </c>
      <c r="E103" s="484">
        <v>2927.1318165637581</v>
      </c>
      <c r="F103" s="485">
        <v>2787.1987005245251</v>
      </c>
      <c r="G103" s="483">
        <f t="shared" si="7"/>
        <v>1980.9262923138529</v>
      </c>
      <c r="H103" s="484">
        <f t="shared" si="7"/>
        <v>1886.6362897254501</v>
      </c>
      <c r="I103" s="484">
        <f t="shared" si="7"/>
        <v>1826.1513469015849</v>
      </c>
      <c r="J103" s="485">
        <f t="shared" si="7"/>
        <v>1738.8511963292183</v>
      </c>
      <c r="K103" s="486">
        <f t="shared" si="6"/>
        <v>3.581499999999993E-2</v>
      </c>
      <c r="L103" s="454">
        <f t="shared" si="6"/>
        <v>3.2762500000000028E-2</v>
      </c>
      <c r="M103" s="454">
        <f t="shared" si="6"/>
        <v>3.0727499999999797E-2</v>
      </c>
      <c r="N103" s="487">
        <f t="shared" si="6"/>
        <v>2.7674999999999894E-2</v>
      </c>
      <c r="O103" s="453">
        <v>1.8000000000000002E-2</v>
      </c>
      <c r="P103" s="454">
        <v>1.4999999999999999E-2</v>
      </c>
      <c r="Q103" s="454">
        <v>1.3000000000000001E-2</v>
      </c>
      <c r="R103" s="455">
        <v>0.01</v>
      </c>
      <c r="S103" s="482"/>
    </row>
    <row r="104" spans="2:19" ht="15" customHeight="1" x14ac:dyDescent="0.25">
      <c r="B104" s="406">
        <v>2047</v>
      </c>
      <c r="C104" s="483">
        <v>3288.9405592008534</v>
      </c>
      <c r="D104" s="484">
        <v>3123.1594437013073</v>
      </c>
      <c r="E104" s="484">
        <v>3017.0752594572209</v>
      </c>
      <c r="F104" s="485">
        <v>2864.3344245615417</v>
      </c>
      <c r="G104" s="483">
        <f t="shared" si="7"/>
        <v>2016.5829655755022</v>
      </c>
      <c r="H104" s="484">
        <f t="shared" si="7"/>
        <v>1914.9358340713316</v>
      </c>
      <c r="I104" s="484">
        <f t="shared" si="7"/>
        <v>1849.8913144113053</v>
      </c>
      <c r="J104" s="485">
        <f t="shared" si="7"/>
        <v>1756.2397082925104</v>
      </c>
      <c r="K104" s="486">
        <f t="shared" si="6"/>
        <v>3.5815000000000152E-2</v>
      </c>
      <c r="L104" s="454">
        <f t="shared" si="6"/>
        <v>3.2762499999999806E-2</v>
      </c>
      <c r="M104" s="454">
        <f t="shared" si="6"/>
        <v>3.0727500000000019E-2</v>
      </c>
      <c r="N104" s="487">
        <f t="shared" si="6"/>
        <v>2.7675000000000116E-2</v>
      </c>
      <c r="O104" s="453">
        <v>1.8000000000000002E-2</v>
      </c>
      <c r="P104" s="454">
        <v>1.4999999999999999E-2</v>
      </c>
      <c r="Q104" s="454">
        <v>1.3000000000000001E-2</v>
      </c>
      <c r="R104" s="455">
        <v>0.01</v>
      </c>
      <c r="S104" s="482"/>
    </row>
    <row r="105" spans="2:19" ht="15" customHeight="1" x14ac:dyDescent="0.25">
      <c r="B105" s="406">
        <v>2048</v>
      </c>
      <c r="C105" s="483">
        <v>3406.7339653286322</v>
      </c>
      <c r="D105" s="484">
        <v>3225.4819549755716</v>
      </c>
      <c r="E105" s="484">
        <v>3109.7824394921927</v>
      </c>
      <c r="F105" s="485">
        <v>2943.6048797612825</v>
      </c>
      <c r="G105" s="483">
        <f t="shared" si="7"/>
        <v>2052.881458955861</v>
      </c>
      <c r="H105" s="484">
        <f t="shared" si="7"/>
        <v>1943.6598715824014</v>
      </c>
      <c r="I105" s="484">
        <f t="shared" si="7"/>
        <v>1873.939901498652</v>
      </c>
      <c r="J105" s="485">
        <f t="shared" si="7"/>
        <v>1773.8021053754355</v>
      </c>
      <c r="K105" s="486">
        <f t="shared" si="6"/>
        <v>3.5815000000000152E-2</v>
      </c>
      <c r="L105" s="454">
        <f t="shared" si="6"/>
        <v>3.2762500000000028E-2</v>
      </c>
      <c r="M105" s="454">
        <f t="shared" si="6"/>
        <v>3.0727500000000019E-2</v>
      </c>
      <c r="N105" s="487">
        <f t="shared" si="6"/>
        <v>2.7675000000000116E-2</v>
      </c>
      <c r="O105" s="453">
        <v>1.8000000000000002E-2</v>
      </c>
      <c r="P105" s="454">
        <v>1.4999999999999999E-2</v>
      </c>
      <c r="Q105" s="454">
        <v>1.3000000000000001E-2</v>
      </c>
      <c r="R105" s="455">
        <v>0.01</v>
      </c>
      <c r="S105" s="482"/>
    </row>
    <row r="106" spans="2:19" ht="15" customHeight="1" x14ac:dyDescent="0.25">
      <c r="B106" s="406">
        <v>2049</v>
      </c>
      <c r="C106" s="483">
        <v>3528.7461422968772</v>
      </c>
      <c r="D106" s="484">
        <v>3331.156807525459</v>
      </c>
      <c r="E106" s="484">
        <v>3205.3382794016893</v>
      </c>
      <c r="F106" s="485">
        <v>3025.0691448086764</v>
      </c>
      <c r="G106" s="483">
        <f t="shared" si="7"/>
        <v>2089.8333252170664</v>
      </c>
      <c r="H106" s="484">
        <f t="shared" si="7"/>
        <v>1972.8147696561373</v>
      </c>
      <c r="I106" s="484">
        <f t="shared" si="7"/>
        <v>1898.3011202181344</v>
      </c>
      <c r="J106" s="485">
        <f t="shared" si="7"/>
        <v>1791.54012642919</v>
      </c>
      <c r="K106" s="486">
        <f t="shared" si="6"/>
        <v>3.581499999999993E-2</v>
      </c>
      <c r="L106" s="454">
        <f t="shared" si="6"/>
        <v>3.2762500000000028E-2</v>
      </c>
      <c r="M106" s="454">
        <f t="shared" si="6"/>
        <v>3.0727500000000019E-2</v>
      </c>
      <c r="N106" s="487">
        <f t="shared" si="6"/>
        <v>2.7675000000000116E-2</v>
      </c>
      <c r="O106" s="453">
        <v>1.8000000000000002E-2</v>
      </c>
      <c r="P106" s="454">
        <v>1.4999999999999999E-2</v>
      </c>
      <c r="Q106" s="454">
        <v>1.3000000000000001E-2</v>
      </c>
      <c r="R106" s="455">
        <v>0.01</v>
      </c>
      <c r="S106" s="482"/>
    </row>
    <row r="107" spans="2:19" ht="15" customHeight="1" x14ac:dyDescent="0.25">
      <c r="B107" s="406">
        <v>2050</v>
      </c>
      <c r="C107" s="483">
        <v>3655.1281853832397</v>
      </c>
      <c r="D107" s="484">
        <v>3440.2938324320116</v>
      </c>
      <c r="E107" s="484">
        <v>3303.8303113820048</v>
      </c>
      <c r="F107" s="485">
        <v>3108.787933391257</v>
      </c>
      <c r="G107" s="483">
        <f t="shared" si="7"/>
        <v>2127.4503250709736</v>
      </c>
      <c r="H107" s="484">
        <f t="shared" si="7"/>
        <v>2002.4069912009791</v>
      </c>
      <c r="I107" s="484">
        <f t="shared" si="7"/>
        <v>1922.9790347809701</v>
      </c>
      <c r="J107" s="485">
        <f t="shared" si="7"/>
        <v>1809.4555276934818</v>
      </c>
      <c r="K107" s="486">
        <f t="shared" si="6"/>
        <v>3.581499999999993E-2</v>
      </c>
      <c r="L107" s="454">
        <f t="shared" si="6"/>
        <v>3.2762500000000028E-2</v>
      </c>
      <c r="M107" s="454">
        <f t="shared" si="6"/>
        <v>3.0727500000000019E-2</v>
      </c>
      <c r="N107" s="487">
        <f t="shared" si="6"/>
        <v>2.7675000000000116E-2</v>
      </c>
      <c r="O107" s="453">
        <v>1.8000000000000002E-2</v>
      </c>
      <c r="P107" s="454">
        <v>1.4999999999999999E-2</v>
      </c>
      <c r="Q107" s="454">
        <v>1.3000000000000001E-2</v>
      </c>
      <c r="R107" s="455">
        <v>0.01</v>
      </c>
      <c r="S107" s="482"/>
    </row>
    <row r="108" spans="2:19" ht="15" customHeight="1" x14ac:dyDescent="0.25">
      <c r="B108" s="406">
        <v>2051</v>
      </c>
      <c r="C108" s="483">
        <v>3786.0366013427411</v>
      </c>
      <c r="D108" s="484">
        <v>3553.0064591170653</v>
      </c>
      <c r="E108" s="484">
        <v>3405.3487572749955</v>
      </c>
      <c r="F108" s="485">
        <v>3194.8236394478599</v>
      </c>
      <c r="G108" s="483">
        <f t="shared" si="7"/>
        <v>2165.744430922251</v>
      </c>
      <c r="H108" s="484">
        <f t="shared" si="7"/>
        <v>2032.4430960689936</v>
      </c>
      <c r="I108" s="484">
        <f t="shared" si="7"/>
        <v>1947.9777622331226</v>
      </c>
      <c r="J108" s="485">
        <f t="shared" si="7"/>
        <v>1827.5500829704167</v>
      </c>
      <c r="K108" s="486">
        <f t="shared" si="6"/>
        <v>3.5815000000000152E-2</v>
      </c>
      <c r="L108" s="454">
        <f t="shared" si="6"/>
        <v>3.2762500000000028E-2</v>
      </c>
      <c r="M108" s="454">
        <f t="shared" si="6"/>
        <v>3.0727500000000019E-2</v>
      </c>
      <c r="N108" s="487">
        <f t="shared" si="6"/>
        <v>2.7674999999999894E-2</v>
      </c>
      <c r="O108" s="453">
        <v>1.8000000000000002E-2</v>
      </c>
      <c r="P108" s="454">
        <v>1.4999999999999999E-2</v>
      </c>
      <c r="Q108" s="454">
        <v>1.3000000000000001E-2</v>
      </c>
      <c r="R108" s="455">
        <v>0.01</v>
      </c>
      <c r="S108" s="482"/>
    </row>
    <row r="109" spans="2:19" ht="15" customHeight="1" x14ac:dyDescent="0.25">
      <c r="B109" s="406">
        <v>2052</v>
      </c>
      <c r="C109" s="483">
        <v>3921.6335022198318</v>
      </c>
      <c r="D109" s="484">
        <v>3669.4118332338876</v>
      </c>
      <c r="E109" s="484">
        <v>3509.9866112141626</v>
      </c>
      <c r="F109" s="485">
        <v>3283.2403836695798</v>
      </c>
      <c r="G109" s="483">
        <f t="shared" si="7"/>
        <v>2204.7278306788517</v>
      </c>
      <c r="H109" s="484">
        <f t="shared" si="7"/>
        <v>2062.9297425100281</v>
      </c>
      <c r="I109" s="484">
        <f t="shared" si="7"/>
        <v>1973.3014731421529</v>
      </c>
      <c r="J109" s="485">
        <f t="shared" si="7"/>
        <v>1845.825583800121</v>
      </c>
      <c r="K109" s="486">
        <f t="shared" si="6"/>
        <v>3.5815000000000152E-2</v>
      </c>
      <c r="L109" s="454">
        <f t="shared" si="6"/>
        <v>3.2762499999999806E-2</v>
      </c>
      <c r="M109" s="454">
        <f t="shared" si="6"/>
        <v>3.0727500000000019E-2</v>
      </c>
      <c r="N109" s="487">
        <f t="shared" si="6"/>
        <v>2.7675000000000116E-2</v>
      </c>
      <c r="O109" s="453">
        <v>1.8000000000000002E-2</v>
      </c>
      <c r="P109" s="454">
        <v>1.4999999999999999E-2</v>
      </c>
      <c r="Q109" s="454">
        <v>1.3000000000000001E-2</v>
      </c>
      <c r="R109" s="455">
        <v>0.01</v>
      </c>
      <c r="S109" s="482"/>
    </row>
    <row r="110" spans="2:19" ht="15" customHeight="1" x14ac:dyDescent="0.25">
      <c r="B110" s="406">
        <v>2053</v>
      </c>
      <c r="C110" s="483">
        <v>4062.0868061018355</v>
      </c>
      <c r="D110" s="484">
        <v>3789.6309384202123</v>
      </c>
      <c r="E110" s="484">
        <v>3617.8397248102456</v>
      </c>
      <c r="F110" s="485">
        <v>3374.1040612876359</v>
      </c>
      <c r="G110" s="483">
        <f t="shared" ref="G110:J125" si="8">G109*(1+O110)</f>
        <v>2244.4129316310709</v>
      </c>
      <c r="H110" s="484">
        <f t="shared" si="8"/>
        <v>2093.8736886476781</v>
      </c>
      <c r="I110" s="484">
        <f t="shared" si="8"/>
        <v>1998.9543922930006</v>
      </c>
      <c r="J110" s="485">
        <f t="shared" si="8"/>
        <v>1864.2838396381221</v>
      </c>
      <c r="K110" s="486">
        <f t="shared" si="6"/>
        <v>3.5815000000000152E-2</v>
      </c>
      <c r="L110" s="454">
        <f t="shared" si="6"/>
        <v>3.2762499999999806E-2</v>
      </c>
      <c r="M110" s="454">
        <f t="shared" si="6"/>
        <v>3.0727500000000019E-2</v>
      </c>
      <c r="N110" s="487">
        <f t="shared" si="6"/>
        <v>2.7675000000000116E-2</v>
      </c>
      <c r="O110" s="453">
        <v>1.8000000000000002E-2</v>
      </c>
      <c r="P110" s="454">
        <v>1.4999999999999999E-2</v>
      </c>
      <c r="Q110" s="454">
        <v>1.3000000000000001E-2</v>
      </c>
      <c r="R110" s="455">
        <v>0.01</v>
      </c>
      <c r="S110" s="482"/>
    </row>
    <row r="111" spans="2:19" ht="15" customHeight="1" x14ac:dyDescent="0.25">
      <c r="B111" s="406">
        <v>2054</v>
      </c>
      <c r="C111" s="483">
        <v>4207.5704450623734</v>
      </c>
      <c r="D111" s="484">
        <v>3913.7887220402049</v>
      </c>
      <c r="E111" s="484">
        <v>3729.0068949543524</v>
      </c>
      <c r="F111" s="485">
        <v>3467.4823911837721</v>
      </c>
      <c r="G111" s="483">
        <f t="shared" si="8"/>
        <v>2284.8123644004304</v>
      </c>
      <c r="H111" s="484">
        <f t="shared" si="8"/>
        <v>2125.2817939773931</v>
      </c>
      <c r="I111" s="484">
        <f t="shared" si="8"/>
        <v>2024.9407993928094</v>
      </c>
      <c r="J111" s="485">
        <f t="shared" si="8"/>
        <v>1882.9266780345033</v>
      </c>
      <c r="K111" s="486">
        <f t="shared" si="6"/>
        <v>3.5815000000000152E-2</v>
      </c>
      <c r="L111" s="454">
        <f t="shared" si="6"/>
        <v>3.2762500000000028E-2</v>
      </c>
      <c r="M111" s="454">
        <f t="shared" si="6"/>
        <v>3.0727500000000019E-2</v>
      </c>
      <c r="N111" s="487">
        <f t="shared" si="6"/>
        <v>2.7675000000000338E-2</v>
      </c>
      <c r="O111" s="453">
        <v>1.8000000000000002E-2</v>
      </c>
      <c r="P111" s="454">
        <v>1.4999999999999999E-2</v>
      </c>
      <c r="Q111" s="454">
        <v>1.3000000000000001E-2</v>
      </c>
      <c r="R111" s="455">
        <v>0.01</v>
      </c>
      <c r="S111" s="482"/>
    </row>
    <row r="112" spans="2:19" ht="15" customHeight="1" x14ac:dyDescent="0.25">
      <c r="B112" s="406">
        <v>2055</v>
      </c>
      <c r="C112" s="483">
        <v>4358.2645805522825</v>
      </c>
      <c r="D112" s="484">
        <v>4042.0142250460472</v>
      </c>
      <c r="E112" s="484">
        <v>3843.5899543190626</v>
      </c>
      <c r="F112" s="485">
        <v>3563.4449663597829</v>
      </c>
      <c r="G112" s="483">
        <f t="shared" si="8"/>
        <v>2325.938986959638</v>
      </c>
      <c r="H112" s="484">
        <f t="shared" si="8"/>
        <v>2157.1610208870538</v>
      </c>
      <c r="I112" s="484">
        <f t="shared" si="8"/>
        <v>2051.2650297849159</v>
      </c>
      <c r="J112" s="485">
        <f t="shared" si="8"/>
        <v>1901.7559448148484</v>
      </c>
      <c r="K112" s="486">
        <f t="shared" si="6"/>
        <v>3.581499999999993E-2</v>
      </c>
      <c r="L112" s="454">
        <f t="shared" si="6"/>
        <v>3.2762500000000028E-2</v>
      </c>
      <c r="M112" s="454">
        <f t="shared" si="6"/>
        <v>3.0727500000000019E-2</v>
      </c>
      <c r="N112" s="487">
        <f t="shared" si="6"/>
        <v>2.7674999999999894E-2</v>
      </c>
      <c r="O112" s="453">
        <v>1.8000000000000002E-2</v>
      </c>
      <c r="P112" s="454">
        <v>1.4999999999999999E-2</v>
      </c>
      <c r="Q112" s="454">
        <v>1.3000000000000001E-2</v>
      </c>
      <c r="R112" s="455">
        <v>0.01</v>
      </c>
      <c r="S112" s="482"/>
    </row>
    <row r="113" spans="2:19" ht="15" customHeight="1" x14ac:dyDescent="0.25">
      <c r="B113" s="406">
        <v>2056</v>
      </c>
      <c r="C113" s="483">
        <v>4514.3558265047632</v>
      </c>
      <c r="D113" s="484">
        <v>4174.4407160941173</v>
      </c>
      <c r="E113" s="484">
        <v>3961.693864640401</v>
      </c>
      <c r="F113" s="485">
        <v>3662.0633058037902</v>
      </c>
      <c r="G113" s="483">
        <f t="shared" si="8"/>
        <v>2367.8058887249117</v>
      </c>
      <c r="H113" s="484">
        <f t="shared" si="8"/>
        <v>2189.5184362003592</v>
      </c>
      <c r="I113" s="484">
        <f t="shared" si="8"/>
        <v>2077.9314751721195</v>
      </c>
      <c r="J113" s="485">
        <f t="shared" si="8"/>
        <v>1920.7735042629968</v>
      </c>
      <c r="K113" s="486">
        <f t="shared" si="6"/>
        <v>3.5815000000000152E-2</v>
      </c>
      <c r="L113" s="454">
        <f t="shared" si="6"/>
        <v>3.2762499999999806E-2</v>
      </c>
      <c r="M113" s="454">
        <f t="shared" si="6"/>
        <v>3.0727499999999797E-2</v>
      </c>
      <c r="N113" s="487">
        <f t="shared" si="6"/>
        <v>2.7675000000000116E-2</v>
      </c>
      <c r="O113" s="453">
        <v>1.8000000000000002E-2</v>
      </c>
      <c r="P113" s="454">
        <v>1.4999999999999999E-2</v>
      </c>
      <c r="Q113" s="454">
        <v>1.3000000000000001E-2</v>
      </c>
      <c r="R113" s="455">
        <v>0.01</v>
      </c>
      <c r="S113" s="482"/>
    </row>
    <row r="114" spans="2:19" ht="15" customHeight="1" x14ac:dyDescent="0.25">
      <c r="B114" s="406">
        <v>2057</v>
      </c>
      <c r="C114" s="483">
        <v>4676.0374804310313</v>
      </c>
      <c r="D114" s="484">
        <v>4311.2058300551516</v>
      </c>
      <c r="E114" s="484">
        <v>4083.4268128661388</v>
      </c>
      <c r="F114" s="485">
        <v>3763.4109077919102</v>
      </c>
      <c r="G114" s="483">
        <f t="shared" si="8"/>
        <v>2410.4263947219602</v>
      </c>
      <c r="H114" s="484">
        <f t="shared" si="8"/>
        <v>2222.3612127433644</v>
      </c>
      <c r="I114" s="484">
        <f t="shared" si="8"/>
        <v>2104.9445843493568</v>
      </c>
      <c r="J114" s="485">
        <f t="shared" si="8"/>
        <v>1939.9812393056268</v>
      </c>
      <c r="K114" s="486">
        <f t="shared" si="6"/>
        <v>3.581499999999993E-2</v>
      </c>
      <c r="L114" s="454">
        <f t="shared" si="6"/>
        <v>3.276250000000025E-2</v>
      </c>
      <c r="M114" s="454">
        <f t="shared" si="6"/>
        <v>3.0727500000000019E-2</v>
      </c>
      <c r="N114" s="487">
        <f t="shared" si="6"/>
        <v>2.7675000000000116E-2</v>
      </c>
      <c r="O114" s="453">
        <v>1.8000000000000002E-2</v>
      </c>
      <c r="P114" s="454">
        <v>1.4999999999999999E-2</v>
      </c>
      <c r="Q114" s="454">
        <v>1.3000000000000001E-2</v>
      </c>
      <c r="R114" s="455">
        <v>0.01</v>
      </c>
      <c r="S114" s="482"/>
    </row>
    <row r="115" spans="2:19" ht="15" customHeight="1" x14ac:dyDescent="0.25">
      <c r="B115" s="406">
        <v>2058</v>
      </c>
      <c r="C115" s="483">
        <v>4843.5097627926689</v>
      </c>
      <c r="D115" s="484">
        <v>4452.4517110623328</v>
      </c>
      <c r="E115" s="484">
        <v>4208.9003102584829</v>
      </c>
      <c r="F115" s="485">
        <v>3867.563304665051</v>
      </c>
      <c r="G115" s="483">
        <f t="shared" si="8"/>
        <v>2453.8140698269553</v>
      </c>
      <c r="H115" s="484">
        <f t="shared" si="8"/>
        <v>2255.6966309345148</v>
      </c>
      <c r="I115" s="484">
        <f t="shared" si="8"/>
        <v>2132.3088639458983</v>
      </c>
      <c r="J115" s="485">
        <f t="shared" si="8"/>
        <v>1959.381051698683</v>
      </c>
      <c r="K115" s="486">
        <f t="shared" si="6"/>
        <v>3.581499999999993E-2</v>
      </c>
      <c r="L115" s="454">
        <f t="shared" si="6"/>
        <v>3.2762499999999806E-2</v>
      </c>
      <c r="M115" s="454">
        <f t="shared" si="6"/>
        <v>3.0727500000000019E-2</v>
      </c>
      <c r="N115" s="487">
        <f t="shared" si="6"/>
        <v>2.7674999999999894E-2</v>
      </c>
      <c r="O115" s="453">
        <v>1.8000000000000002E-2</v>
      </c>
      <c r="P115" s="454">
        <v>1.4999999999999999E-2</v>
      </c>
      <c r="Q115" s="454">
        <v>1.3000000000000001E-2</v>
      </c>
      <c r="R115" s="455">
        <v>0.01</v>
      </c>
      <c r="S115" s="482"/>
    </row>
    <row r="116" spans="2:19" ht="15" customHeight="1" x14ac:dyDescent="0.25">
      <c r="B116" s="406">
        <v>2059</v>
      </c>
      <c r="C116" s="483">
        <v>5016.9800649470881</v>
      </c>
      <c r="D116" s="484">
        <v>4598.3251602460123</v>
      </c>
      <c r="E116" s="484">
        <v>4338.2292945419513</v>
      </c>
      <c r="F116" s="485">
        <v>3974.598119121657</v>
      </c>
      <c r="G116" s="483">
        <f t="shared" si="8"/>
        <v>2497.9827230838405</v>
      </c>
      <c r="H116" s="484">
        <f t="shared" si="8"/>
        <v>2289.5320803985323</v>
      </c>
      <c r="I116" s="484">
        <f t="shared" si="8"/>
        <v>2160.028879177195</v>
      </c>
      <c r="J116" s="485">
        <f t="shared" si="8"/>
        <v>1978.9748622156699</v>
      </c>
      <c r="K116" s="486">
        <f t="shared" si="6"/>
        <v>3.581499999999993E-2</v>
      </c>
      <c r="L116" s="454">
        <f t="shared" si="6"/>
        <v>3.2762500000000028E-2</v>
      </c>
      <c r="M116" s="454">
        <f t="shared" si="6"/>
        <v>3.0727500000000241E-2</v>
      </c>
      <c r="N116" s="487">
        <f t="shared" si="6"/>
        <v>2.7675000000000116E-2</v>
      </c>
      <c r="O116" s="453">
        <v>1.8000000000000002E-2</v>
      </c>
      <c r="P116" s="454">
        <v>1.4999999999999999E-2</v>
      </c>
      <c r="Q116" s="454">
        <v>1.3000000000000001E-2</v>
      </c>
      <c r="R116" s="455">
        <v>0.01</v>
      </c>
      <c r="S116" s="482"/>
    </row>
    <row r="117" spans="2:19" ht="15" customHeight="1" x14ac:dyDescent="0.25">
      <c r="B117" s="406">
        <v>2060</v>
      </c>
      <c r="C117" s="483">
        <v>5196.6632059731692</v>
      </c>
      <c r="D117" s="484">
        <v>4748.9777883085717</v>
      </c>
      <c r="E117" s="484">
        <v>4471.5322351899886</v>
      </c>
      <c r="F117" s="485">
        <v>4084.5951220683492</v>
      </c>
      <c r="G117" s="483">
        <f t="shared" si="8"/>
        <v>2542.9464120993498</v>
      </c>
      <c r="H117" s="484">
        <f t="shared" si="8"/>
        <v>2323.8750616045099</v>
      </c>
      <c r="I117" s="484">
        <f t="shared" si="8"/>
        <v>2188.1092546064983</v>
      </c>
      <c r="J117" s="485">
        <f t="shared" si="8"/>
        <v>1998.7646108378267</v>
      </c>
      <c r="K117" s="486">
        <f t="shared" si="6"/>
        <v>3.5815000000000152E-2</v>
      </c>
      <c r="L117" s="454">
        <f t="shared" si="6"/>
        <v>3.2762499999999806E-2</v>
      </c>
      <c r="M117" s="454">
        <f t="shared" si="6"/>
        <v>3.0727499999999797E-2</v>
      </c>
      <c r="N117" s="487">
        <f t="shared" si="6"/>
        <v>2.7675000000000116E-2</v>
      </c>
      <c r="O117" s="453">
        <v>1.8000000000000002E-2</v>
      </c>
      <c r="P117" s="454">
        <v>1.4999999999999999E-2</v>
      </c>
      <c r="Q117" s="454">
        <v>1.3000000000000001E-2</v>
      </c>
      <c r="R117" s="455">
        <v>0.01</v>
      </c>
      <c r="S117" s="482"/>
    </row>
    <row r="118" spans="2:19" ht="15" customHeight="1" x14ac:dyDescent="0.25">
      <c r="B118" s="406">
        <v>2061</v>
      </c>
      <c r="C118" s="483">
        <v>5382.7816986950984</v>
      </c>
      <c r="D118" s="484">
        <v>4904.566173098031</v>
      </c>
      <c r="E118" s="484">
        <v>4608.9312419467888</v>
      </c>
      <c r="F118" s="485">
        <v>4197.636292071591</v>
      </c>
      <c r="G118" s="483">
        <f t="shared" si="8"/>
        <v>2588.7194475171382</v>
      </c>
      <c r="H118" s="484">
        <f t="shared" si="8"/>
        <v>2358.7331875285772</v>
      </c>
      <c r="I118" s="484">
        <f t="shared" si="8"/>
        <v>2216.5546749163827</v>
      </c>
      <c r="J118" s="485">
        <f t="shared" si="8"/>
        <v>2018.7522569462051</v>
      </c>
      <c r="K118" s="486">
        <f t="shared" si="6"/>
        <v>3.581499999999993E-2</v>
      </c>
      <c r="L118" s="454">
        <f t="shared" si="6"/>
        <v>3.2762500000000028E-2</v>
      </c>
      <c r="M118" s="454">
        <f t="shared" si="6"/>
        <v>3.0727500000000019E-2</v>
      </c>
      <c r="N118" s="487">
        <f t="shared" si="6"/>
        <v>2.7675000000000116E-2</v>
      </c>
      <c r="O118" s="453">
        <v>1.8000000000000002E-2</v>
      </c>
      <c r="P118" s="454">
        <v>1.4999999999999999E-2</v>
      </c>
      <c r="Q118" s="454">
        <v>1.3000000000000001E-2</v>
      </c>
      <c r="R118" s="455">
        <v>0.01</v>
      </c>
    </row>
    <row r="119" spans="2:19" ht="15" customHeight="1" x14ac:dyDescent="0.25">
      <c r="B119" s="406">
        <v>2062</v>
      </c>
      <c r="C119" s="483">
        <v>5575.5660252338639</v>
      </c>
      <c r="D119" s="484">
        <v>5065.2520223441543</v>
      </c>
      <c r="E119" s="484">
        <v>4750.5521766837082</v>
      </c>
      <c r="F119" s="485">
        <v>4313.8058764546722</v>
      </c>
      <c r="G119" s="483">
        <f t="shared" si="8"/>
        <v>2635.3163975724469</v>
      </c>
      <c r="H119" s="484">
        <f t="shared" si="8"/>
        <v>2394.1141853415056</v>
      </c>
      <c r="I119" s="484">
        <f t="shared" si="8"/>
        <v>2245.3698856902956</v>
      </c>
      <c r="J119" s="485">
        <f t="shared" si="8"/>
        <v>2038.9397795156672</v>
      </c>
      <c r="K119" s="486">
        <f t="shared" si="6"/>
        <v>3.5815000000000152E-2</v>
      </c>
      <c r="L119" s="454">
        <f t="shared" si="6"/>
        <v>3.2762499999999806E-2</v>
      </c>
      <c r="M119" s="454">
        <f t="shared" si="6"/>
        <v>3.0727499999999797E-2</v>
      </c>
      <c r="N119" s="487">
        <f t="shared" si="6"/>
        <v>2.7674999999999894E-2</v>
      </c>
      <c r="O119" s="453">
        <v>1.8000000000000002E-2</v>
      </c>
      <c r="P119" s="454">
        <v>1.4999999999999999E-2</v>
      </c>
      <c r="Q119" s="454">
        <v>1.3000000000000001E-2</v>
      </c>
      <c r="R119" s="455">
        <v>0.01</v>
      </c>
    </row>
    <row r="120" spans="2:19" ht="15" customHeight="1" x14ac:dyDescent="0.25">
      <c r="B120" s="406">
        <v>2063</v>
      </c>
      <c r="C120" s="483">
        <v>5775.2549224276154</v>
      </c>
      <c r="D120" s="484">
        <v>5231.2023417262044</v>
      </c>
      <c r="E120" s="484">
        <v>4896.5247686927569</v>
      </c>
      <c r="F120" s="485">
        <v>4433.1904540855558</v>
      </c>
      <c r="G120" s="483">
        <f t="shared" si="8"/>
        <v>2682.752092728751</v>
      </c>
      <c r="H120" s="484">
        <f t="shared" si="8"/>
        <v>2430.025898121628</v>
      </c>
      <c r="I120" s="484">
        <f t="shared" si="8"/>
        <v>2274.5596942042694</v>
      </c>
      <c r="J120" s="485">
        <f t="shared" si="8"/>
        <v>2059.329177310824</v>
      </c>
      <c r="K120" s="486">
        <f t="shared" si="6"/>
        <v>3.5815000000000152E-2</v>
      </c>
      <c r="L120" s="454">
        <f t="shared" si="6"/>
        <v>3.2762500000000028E-2</v>
      </c>
      <c r="M120" s="454">
        <f t="shared" si="6"/>
        <v>3.0727500000000019E-2</v>
      </c>
      <c r="N120" s="487">
        <f t="shared" si="6"/>
        <v>2.7675000000000116E-2</v>
      </c>
      <c r="O120" s="453">
        <v>1.8000000000000002E-2</v>
      </c>
      <c r="P120" s="454">
        <v>1.4999999999999999E-2</v>
      </c>
      <c r="Q120" s="454">
        <v>1.3000000000000001E-2</v>
      </c>
      <c r="R120" s="455">
        <v>0.01</v>
      </c>
    </row>
    <row r="121" spans="2:19" ht="15" customHeight="1" x14ac:dyDescent="0.25">
      <c r="B121" s="406">
        <v>2064</v>
      </c>
      <c r="C121" s="483">
        <v>5982.0956774743609</v>
      </c>
      <c r="D121" s="484">
        <v>5402.5896084470096</v>
      </c>
      <c r="E121" s="484">
        <v>5046.9827335227646</v>
      </c>
      <c r="F121" s="485">
        <v>4555.8789999023747</v>
      </c>
      <c r="G121" s="483">
        <f t="shared" si="8"/>
        <v>2731.0416303978686</v>
      </c>
      <c r="H121" s="484">
        <f t="shared" si="8"/>
        <v>2466.4762865934522</v>
      </c>
      <c r="I121" s="484">
        <f t="shared" si="8"/>
        <v>2304.1289702289246</v>
      </c>
      <c r="J121" s="485">
        <f t="shared" si="8"/>
        <v>2079.9224690839324</v>
      </c>
      <c r="K121" s="486">
        <f t="shared" si="6"/>
        <v>3.5815000000000152E-2</v>
      </c>
      <c r="L121" s="454">
        <f t="shared" si="6"/>
        <v>3.2762500000000028E-2</v>
      </c>
      <c r="M121" s="454">
        <f t="shared" si="6"/>
        <v>3.0727500000000241E-2</v>
      </c>
      <c r="N121" s="487">
        <f t="shared" si="6"/>
        <v>2.7675000000000338E-2</v>
      </c>
      <c r="O121" s="453">
        <v>1.8000000000000002E-2</v>
      </c>
      <c r="P121" s="454">
        <v>1.4999999999999999E-2</v>
      </c>
      <c r="Q121" s="454">
        <v>1.3000000000000001E-2</v>
      </c>
      <c r="R121" s="455">
        <v>0.01</v>
      </c>
    </row>
    <row r="122" spans="2:19" ht="15" customHeight="1" x14ac:dyDescent="0.25">
      <c r="B122" s="406">
        <v>2065</v>
      </c>
      <c r="C122" s="483">
        <v>6196.3444341631048</v>
      </c>
      <c r="D122" s="484">
        <v>5579.5919504937547</v>
      </c>
      <c r="E122" s="484">
        <v>5202.063895467084</v>
      </c>
      <c r="F122" s="485">
        <v>4681.9629512246729</v>
      </c>
      <c r="G122" s="483">
        <f t="shared" si="8"/>
        <v>2780.2003797450302</v>
      </c>
      <c r="H122" s="484">
        <f t="shared" si="8"/>
        <v>2503.4734308923539</v>
      </c>
      <c r="I122" s="484">
        <f t="shared" si="8"/>
        <v>2334.0826468419004</v>
      </c>
      <c r="J122" s="485">
        <f t="shared" si="8"/>
        <v>2100.7216937747717</v>
      </c>
      <c r="K122" s="486">
        <f t="shared" si="6"/>
        <v>3.581499999999993E-2</v>
      </c>
      <c r="L122" s="454">
        <f t="shared" si="6"/>
        <v>3.2762500000000028E-2</v>
      </c>
      <c r="M122" s="454">
        <f t="shared" si="6"/>
        <v>3.0727499999999797E-2</v>
      </c>
      <c r="N122" s="487">
        <f t="shared" si="6"/>
        <v>2.7674999999999894E-2</v>
      </c>
      <c r="O122" s="453">
        <v>1.8000000000000002E-2</v>
      </c>
      <c r="P122" s="454">
        <v>1.4999999999999999E-2</v>
      </c>
      <c r="Q122" s="454">
        <v>1.3000000000000001E-2</v>
      </c>
      <c r="R122" s="455">
        <v>0.01</v>
      </c>
    </row>
    <row r="123" spans="2:19" ht="15" customHeight="1" x14ac:dyDescent="0.25">
      <c r="B123" s="406">
        <v>2066</v>
      </c>
      <c r="C123" s="483">
        <v>6418.2665100726572</v>
      </c>
      <c r="D123" s="484">
        <v>5762.3933317718056</v>
      </c>
      <c r="E123" s="484">
        <v>5361.9103138150494</v>
      </c>
      <c r="F123" s="485">
        <v>4811.5362758998162</v>
      </c>
      <c r="G123" s="483">
        <f t="shared" si="8"/>
        <v>2830.2439865804408</v>
      </c>
      <c r="H123" s="484">
        <f t="shared" si="8"/>
        <v>2541.025532355739</v>
      </c>
      <c r="I123" s="484">
        <f t="shared" si="8"/>
        <v>2364.4257212508451</v>
      </c>
      <c r="J123" s="485">
        <f t="shared" si="8"/>
        <v>2121.7289107125193</v>
      </c>
      <c r="K123" s="486">
        <f t="shared" si="6"/>
        <v>3.5815000000000152E-2</v>
      </c>
      <c r="L123" s="454">
        <f t="shared" si="6"/>
        <v>3.2762499999999806E-2</v>
      </c>
      <c r="M123" s="454">
        <f t="shared" si="6"/>
        <v>3.0727500000000019E-2</v>
      </c>
      <c r="N123" s="487">
        <f t="shared" si="6"/>
        <v>2.7675000000000116E-2</v>
      </c>
      <c r="O123" s="453">
        <v>1.8000000000000002E-2</v>
      </c>
      <c r="P123" s="454">
        <v>1.4999999999999999E-2</v>
      </c>
      <c r="Q123" s="454">
        <v>1.3000000000000001E-2</v>
      </c>
      <c r="R123" s="455">
        <v>0.01</v>
      </c>
    </row>
    <row r="124" spans="2:19" ht="15" customHeight="1" x14ac:dyDescent="0.25">
      <c r="B124" s="406">
        <v>2067</v>
      </c>
      <c r="C124" s="483">
        <v>6648.1367251309102</v>
      </c>
      <c r="D124" s="484">
        <v>5951.18374330398</v>
      </c>
      <c r="E124" s="484">
        <v>5526.6684129828</v>
      </c>
      <c r="F124" s="485">
        <v>4944.6955423353429</v>
      </c>
      <c r="G124" s="483">
        <f t="shared" si="8"/>
        <v>2881.1883783388889</v>
      </c>
      <c r="H124" s="484">
        <f t="shared" si="8"/>
        <v>2579.140915341075</v>
      </c>
      <c r="I124" s="484">
        <f t="shared" si="8"/>
        <v>2395.1632556271056</v>
      </c>
      <c r="J124" s="485">
        <f t="shared" si="8"/>
        <v>2142.9461998196443</v>
      </c>
      <c r="K124" s="486">
        <f t="shared" si="6"/>
        <v>3.5815000000000152E-2</v>
      </c>
      <c r="L124" s="454">
        <f t="shared" si="6"/>
        <v>3.2762500000000028E-2</v>
      </c>
      <c r="M124" s="454">
        <f t="shared" si="6"/>
        <v>3.0727499999999797E-2</v>
      </c>
      <c r="N124" s="487">
        <f t="shared" si="6"/>
        <v>2.7674999999999894E-2</v>
      </c>
      <c r="O124" s="453">
        <v>1.8000000000000002E-2</v>
      </c>
      <c r="P124" s="454">
        <v>1.4999999999999999E-2</v>
      </c>
      <c r="Q124" s="454">
        <v>1.3000000000000001E-2</v>
      </c>
      <c r="R124" s="455">
        <v>0.01</v>
      </c>
    </row>
    <row r="125" spans="2:19" ht="15" customHeight="1" x14ac:dyDescent="0.25">
      <c r="B125" s="406">
        <v>2068</v>
      </c>
      <c r="C125" s="483">
        <v>6886.2397419414747</v>
      </c>
      <c r="D125" s="484">
        <v>6146.1594006939767</v>
      </c>
      <c r="E125" s="484">
        <v>5696.4891166427287</v>
      </c>
      <c r="F125" s="485">
        <v>5081.5399914694735</v>
      </c>
      <c r="G125" s="483">
        <f t="shared" si="8"/>
        <v>2933.0497691489891</v>
      </c>
      <c r="H125" s="484">
        <f t="shared" si="8"/>
        <v>2617.8280290711909</v>
      </c>
      <c r="I125" s="484">
        <f t="shared" si="8"/>
        <v>2426.3003779502578</v>
      </c>
      <c r="J125" s="485">
        <f t="shared" si="8"/>
        <v>2164.3756618178409</v>
      </c>
      <c r="K125" s="486">
        <f t="shared" si="6"/>
        <v>3.5815000000000152E-2</v>
      </c>
      <c r="L125" s="454">
        <f t="shared" si="6"/>
        <v>3.2762500000000028E-2</v>
      </c>
      <c r="M125" s="454">
        <f t="shared" si="6"/>
        <v>3.0727500000000019E-2</v>
      </c>
      <c r="N125" s="487">
        <f t="shared" si="6"/>
        <v>2.7674999999999894E-2</v>
      </c>
      <c r="O125" s="453">
        <v>1.8000000000000002E-2</v>
      </c>
      <c r="P125" s="454">
        <v>1.4999999999999999E-2</v>
      </c>
      <c r="Q125" s="454">
        <v>1.3000000000000001E-2</v>
      </c>
      <c r="R125" s="455">
        <v>0.01</v>
      </c>
    </row>
    <row r="126" spans="2:19" ht="15" customHeight="1" x14ac:dyDescent="0.25">
      <c r="B126" s="406">
        <v>2069</v>
      </c>
      <c r="C126" s="483">
        <v>7132.8704182991096</v>
      </c>
      <c r="D126" s="484">
        <v>6347.5229480592134</v>
      </c>
      <c r="E126" s="484">
        <v>5871.5279859743687</v>
      </c>
      <c r="F126" s="485">
        <v>5222.1716107333923</v>
      </c>
      <c r="G126" s="483">
        <f t="shared" ref="G126:J127" si="9">G125*(1+O126)</f>
        <v>2985.8446649936709</v>
      </c>
      <c r="H126" s="484">
        <f t="shared" si="9"/>
        <v>2657.0954495072588</v>
      </c>
      <c r="I126" s="484">
        <f t="shared" si="9"/>
        <v>2457.8422828636108</v>
      </c>
      <c r="J126" s="485">
        <f t="shared" si="9"/>
        <v>2186.0194184360194</v>
      </c>
      <c r="K126" s="486">
        <f t="shared" si="6"/>
        <v>3.5815000000000152E-2</v>
      </c>
      <c r="L126" s="454">
        <f t="shared" si="6"/>
        <v>3.2762500000000028E-2</v>
      </c>
      <c r="M126" s="454">
        <f t="shared" si="6"/>
        <v>3.0727500000000019E-2</v>
      </c>
      <c r="N126" s="487">
        <f t="shared" si="6"/>
        <v>2.7675000000000116E-2</v>
      </c>
      <c r="O126" s="453">
        <v>1.8000000000000002E-2</v>
      </c>
      <c r="P126" s="454">
        <v>1.4999999999999999E-2</v>
      </c>
      <c r="Q126" s="454">
        <v>1.3000000000000001E-2</v>
      </c>
      <c r="R126" s="455">
        <v>0.01</v>
      </c>
    </row>
    <row r="127" spans="2:19" ht="15" customHeight="1" thickBot="1" x14ac:dyDescent="0.3">
      <c r="B127" s="413">
        <v>2070</v>
      </c>
      <c r="C127" s="488">
        <v>7388.3341723304929</v>
      </c>
      <c r="D127" s="489">
        <v>6555.4836686450035</v>
      </c>
      <c r="E127" s="489">
        <v>6051.9453621633966</v>
      </c>
      <c r="F127" s="490">
        <v>5366.6952100604403</v>
      </c>
      <c r="G127" s="488">
        <f t="shared" si="9"/>
        <v>3039.5898689635569</v>
      </c>
      <c r="H127" s="489">
        <f t="shared" si="9"/>
        <v>2696.9518812498673</v>
      </c>
      <c r="I127" s="489">
        <f t="shared" si="9"/>
        <v>2489.7942325408376</v>
      </c>
      <c r="J127" s="490">
        <f t="shared" si="9"/>
        <v>2207.8796126203797</v>
      </c>
      <c r="K127" s="491">
        <f t="shared" si="6"/>
        <v>3.5815000000000152E-2</v>
      </c>
      <c r="L127" s="459">
        <f t="shared" si="6"/>
        <v>3.2762500000000028E-2</v>
      </c>
      <c r="M127" s="459">
        <f t="shared" si="6"/>
        <v>3.0727500000000019E-2</v>
      </c>
      <c r="N127" s="492">
        <f t="shared" si="6"/>
        <v>2.7675000000000338E-2</v>
      </c>
      <c r="O127" s="458">
        <v>1.8000000000000002E-2</v>
      </c>
      <c r="P127" s="459">
        <v>1.4999999999999999E-2</v>
      </c>
      <c r="Q127" s="459">
        <v>1.3000000000000001E-2</v>
      </c>
      <c r="R127" s="460">
        <v>0.01</v>
      </c>
    </row>
    <row r="128" spans="2:19" x14ac:dyDescent="0.25">
      <c r="B128" s="493"/>
    </row>
    <row r="129" spans="2:2" x14ac:dyDescent="0.25">
      <c r="B129" s="493"/>
    </row>
    <row r="130" spans="2:2" x14ac:dyDescent="0.25">
      <c r="B130" s="493"/>
    </row>
    <row r="131" spans="2:2" x14ac:dyDescent="0.25">
      <c r="B131" s="493"/>
    </row>
    <row r="132" spans="2:2" x14ac:dyDescent="0.25">
      <c r="B132" s="493"/>
    </row>
    <row r="133" spans="2:2" x14ac:dyDescent="0.25">
      <c r="B133" s="493"/>
    </row>
    <row r="134" spans="2:2" x14ac:dyDescent="0.25">
      <c r="B134" s="493"/>
    </row>
    <row r="135" spans="2:2" x14ac:dyDescent="0.25">
      <c r="B135" s="493"/>
    </row>
    <row r="136" spans="2:2" x14ac:dyDescent="0.25">
      <c r="B136" s="493"/>
    </row>
    <row r="137" spans="2:2" x14ac:dyDescent="0.25">
      <c r="B137" s="493"/>
    </row>
    <row r="138" spans="2:2" x14ac:dyDescent="0.25">
      <c r="B138" s="493"/>
    </row>
    <row r="139" spans="2:2" x14ac:dyDescent="0.25">
      <c r="B139" s="493"/>
    </row>
    <row r="140" spans="2:2" x14ac:dyDescent="0.25">
      <c r="B140" s="493"/>
    </row>
    <row r="141" spans="2:2" x14ac:dyDescent="0.25">
      <c r="B141" s="493"/>
    </row>
    <row r="142" spans="2:2" x14ac:dyDescent="0.25">
      <c r="B142" s="493"/>
    </row>
  </sheetData>
  <mergeCells count="5">
    <mergeCell ref="B4:B5"/>
    <mergeCell ref="C4:F4"/>
    <mergeCell ref="G4:J4"/>
    <mergeCell ref="K4:N4"/>
    <mergeCell ref="O4:R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T119"/>
  <sheetViews>
    <sheetView topLeftCell="A85" workbookViewId="0">
      <selection activeCell="A22" sqref="A1:XFD1048576"/>
    </sheetView>
  </sheetViews>
  <sheetFormatPr baseColWidth="10" defaultColWidth="11.42578125" defaultRowHeight="15" x14ac:dyDescent="0.25"/>
  <cols>
    <col min="1" max="1" width="1.85546875" style="372" customWidth="1"/>
    <col min="2" max="2" width="9.7109375" style="372" customWidth="1"/>
    <col min="3" max="10" width="13" style="372" customWidth="1"/>
    <col min="11" max="16384" width="11.42578125" style="372"/>
  </cols>
  <sheetData>
    <row r="1" spans="2:19" x14ac:dyDescent="0.25">
      <c r="B1" s="371" t="s">
        <v>326</v>
      </c>
    </row>
    <row r="2" spans="2:19" x14ac:dyDescent="0.25">
      <c r="B2" s="372" t="s">
        <v>294</v>
      </c>
    </row>
    <row r="3" spans="2:19" ht="15.75" thickBot="1" x14ac:dyDescent="0.3"/>
    <row r="4" spans="2:19" ht="19.5" customHeight="1" x14ac:dyDescent="0.25">
      <c r="B4" s="811" t="s">
        <v>10</v>
      </c>
      <c r="C4" s="813" t="s">
        <v>327</v>
      </c>
      <c r="D4" s="814"/>
      <c r="E4" s="814"/>
      <c r="F4" s="815"/>
      <c r="G4" s="813" t="s">
        <v>328</v>
      </c>
      <c r="H4" s="814"/>
      <c r="I4" s="814"/>
      <c r="J4" s="815"/>
      <c r="K4" s="813" t="s">
        <v>314</v>
      </c>
      <c r="L4" s="814"/>
      <c r="M4" s="814"/>
      <c r="N4" s="815"/>
      <c r="O4" s="816" t="s">
        <v>325</v>
      </c>
      <c r="P4" s="814"/>
      <c r="Q4" s="814"/>
      <c r="R4" s="817"/>
    </row>
    <row r="5" spans="2:19" ht="19.5" customHeight="1" thickBot="1" x14ac:dyDescent="0.3">
      <c r="B5" s="812"/>
      <c r="C5" s="422" t="s">
        <v>316</v>
      </c>
      <c r="D5" s="420" t="s">
        <v>317</v>
      </c>
      <c r="E5" s="420" t="s">
        <v>318</v>
      </c>
      <c r="F5" s="421" t="s">
        <v>319</v>
      </c>
      <c r="G5" s="422" t="s">
        <v>316</v>
      </c>
      <c r="H5" s="420" t="s">
        <v>317</v>
      </c>
      <c r="I5" s="420" t="s">
        <v>318</v>
      </c>
      <c r="J5" s="421" t="s">
        <v>319</v>
      </c>
      <c r="K5" s="422" t="s">
        <v>316</v>
      </c>
      <c r="L5" s="420" t="s">
        <v>317</v>
      </c>
      <c r="M5" s="420" t="s">
        <v>318</v>
      </c>
      <c r="N5" s="421" t="s">
        <v>319</v>
      </c>
      <c r="O5" s="419" t="s">
        <v>316</v>
      </c>
      <c r="P5" s="420" t="s">
        <v>317</v>
      </c>
      <c r="Q5" s="420" t="s">
        <v>318</v>
      </c>
      <c r="R5" s="423" t="s">
        <v>319</v>
      </c>
    </row>
    <row r="6" spans="2:19" ht="15" customHeight="1" x14ac:dyDescent="0.25">
      <c r="B6" s="389">
        <v>1972</v>
      </c>
      <c r="C6" s="474">
        <v>1220.7873381944244</v>
      </c>
      <c r="D6" s="475">
        <f t="shared" ref="D6:F21" si="0">C6</f>
        <v>1220.7873381944244</v>
      </c>
      <c r="E6" s="475">
        <f t="shared" si="0"/>
        <v>1220.7873381944244</v>
      </c>
      <c r="F6" s="476">
        <f t="shared" si="0"/>
        <v>1220.7873381944244</v>
      </c>
      <c r="G6" s="477">
        <v>7624.5932381744042</v>
      </c>
      <c r="H6" s="475">
        <v>7624.5932381744042</v>
      </c>
      <c r="I6" s="475">
        <v>7624.5932381744042</v>
      </c>
      <c r="J6" s="476">
        <v>7624.5932381744042</v>
      </c>
      <c r="K6" s="478"/>
      <c r="L6" s="438"/>
      <c r="M6" s="438"/>
      <c r="N6" s="479"/>
      <c r="O6" s="437"/>
      <c r="P6" s="438"/>
      <c r="Q6" s="438"/>
      <c r="R6" s="439"/>
      <c r="S6" s="480"/>
    </row>
    <row r="7" spans="2:19" ht="15" customHeight="1" x14ac:dyDescent="0.25">
      <c r="B7" s="389">
        <v>1973</v>
      </c>
      <c r="C7" s="474">
        <v>1363.4796183286408</v>
      </c>
      <c r="D7" s="475">
        <f t="shared" si="0"/>
        <v>1363.4796183286408</v>
      </c>
      <c r="E7" s="475">
        <f t="shared" si="0"/>
        <v>1363.4796183286408</v>
      </c>
      <c r="F7" s="476">
        <f t="shared" si="0"/>
        <v>1363.4796183286408</v>
      </c>
      <c r="G7" s="477">
        <v>7796.4262650778101</v>
      </c>
      <c r="H7" s="475">
        <v>7796.4262650778101</v>
      </c>
      <c r="I7" s="475">
        <v>7796.4262650778101</v>
      </c>
      <c r="J7" s="476">
        <v>7796.4262650778101</v>
      </c>
      <c r="K7" s="478">
        <f t="shared" ref="K7:R22" si="1">C7/C6-1</f>
        <v>0.11688545225678859</v>
      </c>
      <c r="L7" s="438">
        <f t="shared" si="1"/>
        <v>0.11688545225678859</v>
      </c>
      <c r="M7" s="438">
        <f t="shared" si="1"/>
        <v>0.11688545225678859</v>
      </c>
      <c r="N7" s="479">
        <f t="shared" si="1"/>
        <v>0.11688545225678859</v>
      </c>
      <c r="O7" s="437">
        <f t="shared" si="1"/>
        <v>2.2536681175735485E-2</v>
      </c>
      <c r="P7" s="438">
        <f t="shared" si="1"/>
        <v>2.2536681175735485E-2</v>
      </c>
      <c r="Q7" s="438">
        <f t="shared" si="1"/>
        <v>2.2536681175735485E-2</v>
      </c>
      <c r="R7" s="439">
        <f t="shared" si="1"/>
        <v>2.2536681175735485E-2</v>
      </c>
      <c r="S7" s="480"/>
    </row>
    <row r="8" spans="2:19" ht="15" customHeight="1" x14ac:dyDescent="0.25">
      <c r="B8" s="389">
        <v>1974</v>
      </c>
      <c r="C8" s="474">
        <v>1648.8641785970731</v>
      </c>
      <c r="D8" s="475">
        <f t="shared" si="0"/>
        <v>1648.8641785970731</v>
      </c>
      <c r="E8" s="475">
        <f t="shared" si="0"/>
        <v>1648.8641785970731</v>
      </c>
      <c r="F8" s="476">
        <f t="shared" si="0"/>
        <v>1648.8641785970731</v>
      </c>
      <c r="G8" s="477">
        <v>8288.1692630132857</v>
      </c>
      <c r="H8" s="475">
        <v>8288.1692630132857</v>
      </c>
      <c r="I8" s="475">
        <v>8288.1692630132857</v>
      </c>
      <c r="J8" s="476">
        <v>8288.1692630132857</v>
      </c>
      <c r="K8" s="478">
        <f t="shared" si="1"/>
        <v>0.20930606987602651</v>
      </c>
      <c r="L8" s="438">
        <f t="shared" si="1"/>
        <v>0.20930606987602651</v>
      </c>
      <c r="M8" s="438">
        <f t="shared" si="1"/>
        <v>0.20930606987602651</v>
      </c>
      <c r="N8" s="479">
        <f t="shared" si="1"/>
        <v>0.20930606987602651</v>
      </c>
      <c r="O8" s="437">
        <f t="shared" si="1"/>
        <v>6.3072872264324342E-2</v>
      </c>
      <c r="P8" s="438">
        <f t="shared" si="1"/>
        <v>6.3072872264324342E-2</v>
      </c>
      <c r="Q8" s="438">
        <f t="shared" si="1"/>
        <v>6.3072872264324342E-2</v>
      </c>
      <c r="R8" s="439">
        <f t="shared" si="1"/>
        <v>6.3072872264324342E-2</v>
      </c>
      <c r="S8" s="480"/>
    </row>
    <row r="9" spans="2:19" ht="15" customHeight="1" x14ac:dyDescent="0.25">
      <c r="B9" s="389">
        <v>1975</v>
      </c>
      <c r="C9" s="474">
        <v>2029.3586317395805</v>
      </c>
      <c r="D9" s="475">
        <f t="shared" si="0"/>
        <v>2029.3586317395805</v>
      </c>
      <c r="E9" s="475">
        <f t="shared" si="0"/>
        <v>2029.3586317395805</v>
      </c>
      <c r="F9" s="476">
        <f t="shared" si="0"/>
        <v>2029.3586317395805</v>
      </c>
      <c r="G9" s="477">
        <v>9128.9244601558676</v>
      </c>
      <c r="H9" s="475">
        <v>9128.9244601558676</v>
      </c>
      <c r="I9" s="475">
        <v>9128.9244601558676</v>
      </c>
      <c r="J9" s="476">
        <v>9128.9244601558676</v>
      </c>
      <c r="K9" s="478">
        <f t="shared" si="1"/>
        <v>0.23076154972706675</v>
      </c>
      <c r="L9" s="438">
        <f t="shared" si="1"/>
        <v>0.23076154972706675</v>
      </c>
      <c r="M9" s="438">
        <f t="shared" si="1"/>
        <v>0.23076154972706675</v>
      </c>
      <c r="N9" s="479">
        <f t="shared" si="1"/>
        <v>0.23076154972706675</v>
      </c>
      <c r="O9" s="437">
        <f t="shared" si="1"/>
        <v>0.10144039901483781</v>
      </c>
      <c r="P9" s="438">
        <f t="shared" si="1"/>
        <v>0.10144039901483781</v>
      </c>
      <c r="Q9" s="438">
        <f t="shared" si="1"/>
        <v>0.10144039901483781</v>
      </c>
      <c r="R9" s="439">
        <f t="shared" si="1"/>
        <v>0.10144039901483781</v>
      </c>
      <c r="S9" s="480"/>
    </row>
    <row r="10" spans="2:19" ht="15" customHeight="1" x14ac:dyDescent="0.25">
      <c r="B10" s="389">
        <v>1976</v>
      </c>
      <c r="C10" s="474">
        <v>2394.0105830107768</v>
      </c>
      <c r="D10" s="475">
        <f t="shared" si="0"/>
        <v>2394.0105830107768</v>
      </c>
      <c r="E10" s="475">
        <f t="shared" si="0"/>
        <v>2394.0105830107768</v>
      </c>
      <c r="F10" s="476">
        <f t="shared" si="0"/>
        <v>2394.0105830107768</v>
      </c>
      <c r="G10" s="477">
        <v>9821.1294105659126</v>
      </c>
      <c r="H10" s="475">
        <v>9821.1294105659126</v>
      </c>
      <c r="I10" s="475">
        <v>9821.1294105659126</v>
      </c>
      <c r="J10" s="476">
        <v>9821.1294105659126</v>
      </c>
      <c r="K10" s="478">
        <f t="shared" si="1"/>
        <v>0.17968827469327797</v>
      </c>
      <c r="L10" s="438">
        <f t="shared" si="1"/>
        <v>0.17968827469327797</v>
      </c>
      <c r="M10" s="438">
        <f t="shared" si="1"/>
        <v>0.17968827469327797</v>
      </c>
      <c r="N10" s="479">
        <f t="shared" si="1"/>
        <v>0.17968827469327797</v>
      </c>
      <c r="O10" s="437">
        <f t="shared" si="1"/>
        <v>7.5825465905785983E-2</v>
      </c>
      <c r="P10" s="438">
        <f t="shared" si="1"/>
        <v>7.5825465905785983E-2</v>
      </c>
      <c r="Q10" s="438">
        <f t="shared" si="1"/>
        <v>7.5825465905785983E-2</v>
      </c>
      <c r="R10" s="439">
        <f t="shared" si="1"/>
        <v>7.5825465905785983E-2</v>
      </c>
      <c r="S10" s="480"/>
    </row>
    <row r="11" spans="2:19" ht="15" customHeight="1" x14ac:dyDescent="0.25">
      <c r="B11" s="389">
        <v>1977</v>
      </c>
      <c r="C11" s="474">
        <v>2720.6112595795153</v>
      </c>
      <c r="D11" s="475">
        <f t="shared" si="0"/>
        <v>2720.6112595795153</v>
      </c>
      <c r="E11" s="475">
        <f t="shared" si="0"/>
        <v>2720.6112595795153</v>
      </c>
      <c r="F11" s="476">
        <f t="shared" si="0"/>
        <v>2720.6112595795153</v>
      </c>
      <c r="G11" s="477">
        <v>10207.896478826811</v>
      </c>
      <c r="H11" s="475">
        <v>10207.896478826811</v>
      </c>
      <c r="I11" s="475">
        <v>10207.896478826811</v>
      </c>
      <c r="J11" s="476">
        <v>10207.896478826811</v>
      </c>
      <c r="K11" s="478">
        <f t="shared" si="1"/>
        <v>0.13642407384765853</v>
      </c>
      <c r="L11" s="438">
        <f t="shared" si="1"/>
        <v>0.13642407384765853</v>
      </c>
      <c r="M11" s="438">
        <f t="shared" si="1"/>
        <v>0.13642407384765853</v>
      </c>
      <c r="N11" s="479">
        <f t="shared" si="1"/>
        <v>0.13642407384765853</v>
      </c>
      <c r="O11" s="437">
        <f t="shared" si="1"/>
        <v>3.9381119226959971E-2</v>
      </c>
      <c r="P11" s="438">
        <f t="shared" si="1"/>
        <v>3.9381119226959971E-2</v>
      </c>
      <c r="Q11" s="438">
        <f t="shared" si="1"/>
        <v>3.9381119226959971E-2</v>
      </c>
      <c r="R11" s="439">
        <f t="shared" si="1"/>
        <v>3.9381119226959971E-2</v>
      </c>
      <c r="S11" s="480"/>
    </row>
    <row r="12" spans="2:19" ht="15" customHeight="1" x14ac:dyDescent="0.25">
      <c r="B12" s="389">
        <v>1978</v>
      </c>
      <c r="C12" s="474">
        <v>3037.699117472639</v>
      </c>
      <c r="D12" s="475">
        <f t="shared" si="0"/>
        <v>3037.699117472639</v>
      </c>
      <c r="E12" s="475">
        <f t="shared" si="0"/>
        <v>3037.699117472639</v>
      </c>
      <c r="F12" s="476">
        <f t="shared" si="0"/>
        <v>3037.699117472639</v>
      </c>
      <c r="G12" s="477">
        <v>10450.436043558</v>
      </c>
      <c r="H12" s="475">
        <v>10450.436043558</v>
      </c>
      <c r="I12" s="475">
        <v>10450.436043558</v>
      </c>
      <c r="J12" s="476">
        <v>10450.436043558</v>
      </c>
      <c r="K12" s="478">
        <f t="shared" si="1"/>
        <v>0.11655022626868461</v>
      </c>
      <c r="L12" s="438">
        <f t="shared" si="1"/>
        <v>0.11655022626868461</v>
      </c>
      <c r="M12" s="438">
        <f t="shared" si="1"/>
        <v>0.11655022626868461</v>
      </c>
      <c r="N12" s="479">
        <f t="shared" si="1"/>
        <v>0.11655022626868461</v>
      </c>
      <c r="O12" s="437">
        <f t="shared" si="1"/>
        <v>2.3759994552674302E-2</v>
      </c>
      <c r="P12" s="438">
        <f t="shared" si="1"/>
        <v>2.3759994552674302E-2</v>
      </c>
      <c r="Q12" s="438">
        <f t="shared" si="1"/>
        <v>2.3759994552674302E-2</v>
      </c>
      <c r="R12" s="439">
        <f t="shared" si="1"/>
        <v>2.3759994552674302E-2</v>
      </c>
      <c r="S12" s="480"/>
    </row>
    <row r="13" spans="2:19" ht="15" customHeight="1" x14ac:dyDescent="0.25">
      <c r="B13" s="389">
        <v>1979</v>
      </c>
      <c r="C13" s="474">
        <v>3440.4023434462933</v>
      </c>
      <c r="D13" s="475">
        <f t="shared" si="0"/>
        <v>3440.4023434462933</v>
      </c>
      <c r="E13" s="475">
        <f t="shared" si="0"/>
        <v>3440.4023434462933</v>
      </c>
      <c r="F13" s="476">
        <f t="shared" si="0"/>
        <v>3440.4023434462933</v>
      </c>
      <c r="G13" s="477">
        <v>10683.803681539048</v>
      </c>
      <c r="H13" s="475">
        <v>10683.803681539048</v>
      </c>
      <c r="I13" s="475">
        <v>10683.803681539048</v>
      </c>
      <c r="J13" s="476">
        <v>10683.803681539048</v>
      </c>
      <c r="K13" s="478">
        <f t="shared" si="1"/>
        <v>0.13256850346281257</v>
      </c>
      <c r="L13" s="438">
        <f t="shared" si="1"/>
        <v>0.13256850346281257</v>
      </c>
      <c r="M13" s="438">
        <f t="shared" si="1"/>
        <v>0.13256850346281257</v>
      </c>
      <c r="N13" s="479">
        <f t="shared" si="1"/>
        <v>0.13256850346281257</v>
      </c>
      <c r="O13" s="437">
        <f t="shared" si="1"/>
        <v>2.2330899591974651E-2</v>
      </c>
      <c r="P13" s="438">
        <f t="shared" si="1"/>
        <v>2.2330899591974651E-2</v>
      </c>
      <c r="Q13" s="438">
        <f t="shared" si="1"/>
        <v>2.2330899591974651E-2</v>
      </c>
      <c r="R13" s="439">
        <f t="shared" si="1"/>
        <v>2.2330899591974651E-2</v>
      </c>
      <c r="S13" s="480"/>
    </row>
    <row r="14" spans="2:19" ht="15" customHeight="1" x14ac:dyDescent="0.25">
      <c r="B14" s="389">
        <v>1980</v>
      </c>
      <c r="C14" s="474">
        <v>3852.600094213492</v>
      </c>
      <c r="D14" s="475">
        <f t="shared" si="0"/>
        <v>3852.600094213492</v>
      </c>
      <c r="E14" s="475">
        <f t="shared" si="0"/>
        <v>3852.600094213492</v>
      </c>
      <c r="F14" s="476">
        <f t="shared" si="0"/>
        <v>3852.600094213492</v>
      </c>
      <c r="G14" s="477">
        <v>10536.540470606267</v>
      </c>
      <c r="H14" s="475">
        <v>10536.540470606267</v>
      </c>
      <c r="I14" s="475">
        <v>10536.540470606267</v>
      </c>
      <c r="J14" s="476">
        <v>10536.540470606267</v>
      </c>
      <c r="K14" s="478">
        <f t="shared" si="1"/>
        <v>0.1198109144276116</v>
      </c>
      <c r="L14" s="438">
        <f t="shared" si="1"/>
        <v>0.1198109144276116</v>
      </c>
      <c r="M14" s="438">
        <f t="shared" si="1"/>
        <v>0.1198109144276116</v>
      </c>
      <c r="N14" s="479">
        <f t="shared" si="1"/>
        <v>0.1198109144276116</v>
      </c>
      <c r="O14" s="437">
        <f t="shared" si="1"/>
        <v>-1.378378106921252E-2</v>
      </c>
      <c r="P14" s="438">
        <f t="shared" si="1"/>
        <v>-1.378378106921252E-2</v>
      </c>
      <c r="Q14" s="438">
        <f t="shared" si="1"/>
        <v>-1.378378106921252E-2</v>
      </c>
      <c r="R14" s="439">
        <f t="shared" si="1"/>
        <v>-1.378378106921252E-2</v>
      </c>
      <c r="S14" s="480"/>
    </row>
    <row r="15" spans="2:19" ht="15" customHeight="1" x14ac:dyDescent="0.25">
      <c r="B15" s="389">
        <v>1981</v>
      </c>
      <c r="C15" s="474">
        <v>4439.2300105037375</v>
      </c>
      <c r="D15" s="475">
        <f t="shared" si="0"/>
        <v>4439.2300105037375</v>
      </c>
      <c r="E15" s="475">
        <f t="shared" si="0"/>
        <v>4439.2300105037375</v>
      </c>
      <c r="F15" s="476">
        <f t="shared" si="0"/>
        <v>4439.2300105037375</v>
      </c>
      <c r="G15" s="477">
        <v>10705.87535994859</v>
      </c>
      <c r="H15" s="475">
        <v>10705.87535994859</v>
      </c>
      <c r="I15" s="475">
        <v>10705.87535994859</v>
      </c>
      <c r="J15" s="476">
        <v>10705.87535994859</v>
      </c>
      <c r="K15" s="478">
        <f t="shared" si="1"/>
        <v>0.15226857237826175</v>
      </c>
      <c r="L15" s="438">
        <f t="shared" si="1"/>
        <v>0.15226857237826175</v>
      </c>
      <c r="M15" s="438">
        <f t="shared" si="1"/>
        <v>0.15226857237826175</v>
      </c>
      <c r="N15" s="479">
        <f t="shared" si="1"/>
        <v>0.15226857237826175</v>
      </c>
      <c r="O15" s="437">
        <f t="shared" si="1"/>
        <v>1.6071203808756263E-2</v>
      </c>
      <c r="P15" s="438">
        <f t="shared" si="1"/>
        <v>1.6071203808756263E-2</v>
      </c>
      <c r="Q15" s="438">
        <f t="shared" si="1"/>
        <v>1.6071203808756263E-2</v>
      </c>
      <c r="R15" s="439">
        <f t="shared" si="1"/>
        <v>1.6071203808756263E-2</v>
      </c>
      <c r="S15" s="480"/>
    </row>
    <row r="16" spans="2:19" ht="15" customHeight="1" x14ac:dyDescent="0.25">
      <c r="B16" s="389">
        <v>1982</v>
      </c>
      <c r="C16" s="474">
        <v>5301.6950806226632</v>
      </c>
      <c r="D16" s="475">
        <f t="shared" si="0"/>
        <v>5301.6950806226632</v>
      </c>
      <c r="E16" s="475">
        <f t="shared" si="0"/>
        <v>5301.6950806226632</v>
      </c>
      <c r="F16" s="476">
        <f t="shared" si="0"/>
        <v>5301.6950806226632</v>
      </c>
      <c r="G16" s="477">
        <v>11434.3124472934</v>
      </c>
      <c r="H16" s="475">
        <v>11434.3124472934</v>
      </c>
      <c r="I16" s="475">
        <v>11434.3124472934</v>
      </c>
      <c r="J16" s="476">
        <v>11434.3124472934</v>
      </c>
      <c r="K16" s="478">
        <f t="shared" si="1"/>
        <v>0.19428258235735307</v>
      </c>
      <c r="L16" s="438">
        <f t="shared" si="1"/>
        <v>0.19428258235735307</v>
      </c>
      <c r="M16" s="438">
        <f t="shared" si="1"/>
        <v>0.19428258235735307</v>
      </c>
      <c r="N16" s="479">
        <f t="shared" si="1"/>
        <v>0.19428258235735307</v>
      </c>
      <c r="O16" s="437">
        <f t="shared" si="1"/>
        <v>6.8040871283626458E-2</v>
      </c>
      <c r="P16" s="438">
        <f t="shared" si="1"/>
        <v>6.8040871283626458E-2</v>
      </c>
      <c r="Q16" s="438">
        <f t="shared" si="1"/>
        <v>6.8040871283626458E-2</v>
      </c>
      <c r="R16" s="439">
        <f t="shared" si="1"/>
        <v>6.8040871283626458E-2</v>
      </c>
      <c r="S16" s="480"/>
    </row>
    <row r="17" spans="2:19" ht="15" customHeight="1" x14ac:dyDescent="0.25">
      <c r="B17" s="389">
        <v>1983</v>
      </c>
      <c r="C17" s="474">
        <v>6072.032160644676</v>
      </c>
      <c r="D17" s="475">
        <f t="shared" si="0"/>
        <v>6072.032160644676</v>
      </c>
      <c r="E17" s="475">
        <f t="shared" si="0"/>
        <v>6072.032160644676</v>
      </c>
      <c r="F17" s="476">
        <f t="shared" si="0"/>
        <v>6072.032160644676</v>
      </c>
      <c r="G17" s="477">
        <v>11946.115118880276</v>
      </c>
      <c r="H17" s="475">
        <v>11946.115118880276</v>
      </c>
      <c r="I17" s="475">
        <v>11946.115118880276</v>
      </c>
      <c r="J17" s="476">
        <v>11946.115118880276</v>
      </c>
      <c r="K17" s="478">
        <f t="shared" si="1"/>
        <v>0.1453001480295506</v>
      </c>
      <c r="L17" s="438">
        <f t="shared" si="1"/>
        <v>0.1453001480295506</v>
      </c>
      <c r="M17" s="438">
        <f t="shared" si="1"/>
        <v>0.1453001480295506</v>
      </c>
      <c r="N17" s="479">
        <f t="shared" si="1"/>
        <v>0.1453001480295506</v>
      </c>
      <c r="O17" s="437">
        <f t="shared" si="1"/>
        <v>4.4760248938975344E-2</v>
      </c>
      <c r="P17" s="438">
        <f t="shared" si="1"/>
        <v>4.4760248938975344E-2</v>
      </c>
      <c r="Q17" s="438">
        <f t="shared" si="1"/>
        <v>4.4760248938975344E-2</v>
      </c>
      <c r="R17" s="439">
        <f t="shared" si="1"/>
        <v>4.4760248938975344E-2</v>
      </c>
      <c r="S17" s="480"/>
    </row>
    <row r="18" spans="2:19" ht="15" customHeight="1" x14ac:dyDescent="0.25">
      <c r="B18" s="389">
        <v>1984</v>
      </c>
      <c r="C18" s="474">
        <v>6767.6570262989799</v>
      </c>
      <c r="D18" s="475">
        <f t="shared" si="0"/>
        <v>6767.6570262989799</v>
      </c>
      <c r="E18" s="475">
        <f t="shared" si="0"/>
        <v>6767.6570262989799</v>
      </c>
      <c r="F18" s="476">
        <f t="shared" si="0"/>
        <v>6767.6570262989799</v>
      </c>
      <c r="G18" s="477">
        <v>12396.852823087071</v>
      </c>
      <c r="H18" s="475">
        <v>12396.852823087071</v>
      </c>
      <c r="I18" s="475">
        <v>12396.852823087071</v>
      </c>
      <c r="J18" s="476">
        <v>12396.852823087071</v>
      </c>
      <c r="K18" s="478">
        <f t="shared" si="1"/>
        <v>0.11456211812627304</v>
      </c>
      <c r="L18" s="438">
        <f t="shared" si="1"/>
        <v>0.11456211812627304</v>
      </c>
      <c r="M18" s="438">
        <f t="shared" si="1"/>
        <v>0.11456211812627304</v>
      </c>
      <c r="N18" s="479">
        <f t="shared" si="1"/>
        <v>0.11456211812627304</v>
      </c>
      <c r="O18" s="437">
        <f t="shared" si="1"/>
        <v>3.7730902449987669E-2</v>
      </c>
      <c r="P18" s="438">
        <f t="shared" si="1"/>
        <v>3.7730902449987669E-2</v>
      </c>
      <c r="Q18" s="438">
        <f t="shared" si="1"/>
        <v>3.7730902449987669E-2</v>
      </c>
      <c r="R18" s="439">
        <f t="shared" si="1"/>
        <v>3.7730902449987669E-2</v>
      </c>
      <c r="S18" s="480"/>
    </row>
    <row r="19" spans="2:19" ht="15" customHeight="1" x14ac:dyDescent="0.25">
      <c r="B19" s="389">
        <v>1985</v>
      </c>
      <c r="C19" s="474">
        <v>7370.5319098660411</v>
      </c>
      <c r="D19" s="475">
        <f t="shared" si="0"/>
        <v>7370.5319098660411</v>
      </c>
      <c r="E19" s="475">
        <f t="shared" si="0"/>
        <v>7370.5319098660411</v>
      </c>
      <c r="F19" s="476">
        <f t="shared" si="0"/>
        <v>7370.5319098660411</v>
      </c>
      <c r="G19" s="477">
        <v>12759.28610213202</v>
      </c>
      <c r="H19" s="475">
        <v>12759.28610213202</v>
      </c>
      <c r="I19" s="475">
        <v>12759.28610213202</v>
      </c>
      <c r="J19" s="476">
        <v>12759.28610213202</v>
      </c>
      <c r="K19" s="478">
        <f t="shared" si="1"/>
        <v>8.9081772498857736E-2</v>
      </c>
      <c r="L19" s="438">
        <f t="shared" si="1"/>
        <v>8.9081772498857736E-2</v>
      </c>
      <c r="M19" s="438">
        <f t="shared" si="1"/>
        <v>8.9081772498857736E-2</v>
      </c>
      <c r="N19" s="479">
        <f t="shared" si="1"/>
        <v>8.9081772498857736E-2</v>
      </c>
      <c r="O19" s="437">
        <f t="shared" si="1"/>
        <v>2.9235910453819347E-2</v>
      </c>
      <c r="P19" s="438">
        <f t="shared" si="1"/>
        <v>2.9235910453819347E-2</v>
      </c>
      <c r="Q19" s="438">
        <f t="shared" si="1"/>
        <v>2.9235910453819347E-2</v>
      </c>
      <c r="R19" s="439">
        <f t="shared" si="1"/>
        <v>2.9235910453819347E-2</v>
      </c>
      <c r="S19" s="480"/>
    </row>
    <row r="20" spans="2:19" ht="15" customHeight="1" x14ac:dyDescent="0.25">
      <c r="B20" s="389">
        <v>1986</v>
      </c>
      <c r="C20" s="474">
        <v>8050.6984451724729</v>
      </c>
      <c r="D20" s="475">
        <f t="shared" si="0"/>
        <v>8050.6984451724729</v>
      </c>
      <c r="E20" s="475">
        <f t="shared" si="0"/>
        <v>8050.6984451724729</v>
      </c>
      <c r="F20" s="476">
        <f t="shared" si="0"/>
        <v>8050.6984451724729</v>
      </c>
      <c r="G20" s="477">
        <v>13575.475008203643</v>
      </c>
      <c r="H20" s="475">
        <v>13575.475008203643</v>
      </c>
      <c r="I20" s="475">
        <v>13575.475008203643</v>
      </c>
      <c r="J20" s="476">
        <v>13575.475008203643</v>
      </c>
      <c r="K20" s="478">
        <f t="shared" si="1"/>
        <v>9.2281879194631156E-2</v>
      </c>
      <c r="L20" s="438">
        <f t="shared" si="1"/>
        <v>9.2281879194631156E-2</v>
      </c>
      <c r="M20" s="438">
        <f t="shared" si="1"/>
        <v>9.2281879194631156E-2</v>
      </c>
      <c r="N20" s="479">
        <f t="shared" si="1"/>
        <v>9.2281879194631156E-2</v>
      </c>
      <c r="O20" s="437">
        <f t="shared" si="1"/>
        <v>6.396822671256186E-2</v>
      </c>
      <c r="P20" s="438">
        <f t="shared" si="1"/>
        <v>6.396822671256186E-2</v>
      </c>
      <c r="Q20" s="438">
        <f t="shared" si="1"/>
        <v>6.396822671256186E-2</v>
      </c>
      <c r="R20" s="439">
        <f t="shared" si="1"/>
        <v>6.396822671256186E-2</v>
      </c>
      <c r="S20" s="480"/>
    </row>
    <row r="21" spans="2:19" ht="15" customHeight="1" x14ac:dyDescent="0.25">
      <c r="B21" s="389">
        <v>1987</v>
      </c>
      <c r="C21" s="474">
        <v>8322.7650592950449</v>
      </c>
      <c r="D21" s="475">
        <f t="shared" si="0"/>
        <v>8322.7650592950449</v>
      </c>
      <c r="E21" s="475">
        <f t="shared" si="0"/>
        <v>8322.7650592950449</v>
      </c>
      <c r="F21" s="476">
        <f t="shared" si="0"/>
        <v>8322.7650592950449</v>
      </c>
      <c r="G21" s="477">
        <v>13605.982435381489</v>
      </c>
      <c r="H21" s="475">
        <v>13605.982435381489</v>
      </c>
      <c r="I21" s="475">
        <v>13605.982435381489</v>
      </c>
      <c r="J21" s="476">
        <v>13605.982435381489</v>
      </c>
      <c r="K21" s="478">
        <f t="shared" si="1"/>
        <v>3.3794162826420893E-2</v>
      </c>
      <c r="L21" s="438">
        <f t="shared" si="1"/>
        <v>3.3794162826420893E-2</v>
      </c>
      <c r="M21" s="438">
        <f t="shared" si="1"/>
        <v>3.3794162826420893E-2</v>
      </c>
      <c r="N21" s="479">
        <f t="shared" si="1"/>
        <v>3.3794162826420893E-2</v>
      </c>
      <c r="O21" s="437">
        <f t="shared" si="1"/>
        <v>2.2472456513979999E-3</v>
      </c>
      <c r="P21" s="438">
        <f t="shared" si="1"/>
        <v>2.2472456513979999E-3</v>
      </c>
      <c r="Q21" s="438">
        <f t="shared" si="1"/>
        <v>2.2472456513979999E-3</v>
      </c>
      <c r="R21" s="439">
        <f t="shared" si="1"/>
        <v>2.2472456513979999E-3</v>
      </c>
      <c r="S21" s="480"/>
    </row>
    <row r="22" spans="2:19" ht="15" customHeight="1" x14ac:dyDescent="0.25">
      <c r="B22" s="389">
        <v>1988</v>
      </c>
      <c r="C22" s="474">
        <v>8607.1983376959161</v>
      </c>
      <c r="D22" s="475">
        <f t="shared" ref="D22:F37" si="2">C22</f>
        <v>8607.1983376959161</v>
      </c>
      <c r="E22" s="475">
        <f t="shared" si="2"/>
        <v>8607.1983376959161</v>
      </c>
      <c r="F22" s="476">
        <f t="shared" si="2"/>
        <v>8607.1983376959161</v>
      </c>
      <c r="G22" s="477">
        <v>13702.036063409772</v>
      </c>
      <c r="H22" s="475">
        <v>13702.036063409772</v>
      </c>
      <c r="I22" s="475">
        <v>13702.036063409772</v>
      </c>
      <c r="J22" s="476">
        <v>13702.036063409772</v>
      </c>
      <c r="K22" s="478">
        <f t="shared" si="1"/>
        <v>3.4175334323922835E-2</v>
      </c>
      <c r="L22" s="438">
        <f t="shared" si="1"/>
        <v>3.4175334323922835E-2</v>
      </c>
      <c r="M22" s="438">
        <f t="shared" si="1"/>
        <v>3.4175334323922835E-2</v>
      </c>
      <c r="N22" s="479">
        <f t="shared" si="1"/>
        <v>3.4175334323922835E-2</v>
      </c>
      <c r="O22" s="437">
        <f t="shared" si="1"/>
        <v>7.0596613279834131E-3</v>
      </c>
      <c r="P22" s="438">
        <f t="shared" si="1"/>
        <v>7.0596613279834131E-3</v>
      </c>
      <c r="Q22" s="438">
        <f t="shared" si="1"/>
        <v>7.0596613279834131E-3</v>
      </c>
      <c r="R22" s="439">
        <f t="shared" si="1"/>
        <v>7.0596613279834131E-3</v>
      </c>
      <c r="S22" s="480"/>
    </row>
    <row r="23" spans="2:19" ht="15" customHeight="1" x14ac:dyDescent="0.25">
      <c r="B23" s="389">
        <v>1989</v>
      </c>
      <c r="C23" s="474">
        <v>8891.6316160967872</v>
      </c>
      <c r="D23" s="475">
        <f t="shared" si="2"/>
        <v>8891.6316160967872</v>
      </c>
      <c r="E23" s="475">
        <f t="shared" si="2"/>
        <v>8891.6316160967872</v>
      </c>
      <c r="F23" s="476">
        <f t="shared" si="2"/>
        <v>8891.6316160967872</v>
      </c>
      <c r="G23" s="477">
        <v>13662.01925307632</v>
      </c>
      <c r="H23" s="475">
        <v>13662.01925307632</v>
      </c>
      <c r="I23" s="475">
        <v>13662.01925307632</v>
      </c>
      <c r="J23" s="476">
        <v>13662.01925307632</v>
      </c>
      <c r="K23" s="478">
        <f t="shared" ref="K23:R54" si="3">C23/C22-1</f>
        <v>3.3045977011494365E-2</v>
      </c>
      <c r="L23" s="438">
        <f t="shared" si="3"/>
        <v>3.3045977011494365E-2</v>
      </c>
      <c r="M23" s="438">
        <f t="shared" si="3"/>
        <v>3.3045977011494365E-2</v>
      </c>
      <c r="N23" s="479">
        <f t="shared" si="3"/>
        <v>3.3045977011494365E-2</v>
      </c>
      <c r="O23" s="437">
        <f t="shared" si="3"/>
        <v>-2.9205010224950811E-3</v>
      </c>
      <c r="P23" s="438">
        <f t="shared" si="3"/>
        <v>-2.9205010224950811E-3</v>
      </c>
      <c r="Q23" s="438">
        <f t="shared" si="3"/>
        <v>-2.9205010224950811E-3</v>
      </c>
      <c r="R23" s="439">
        <f t="shared" si="3"/>
        <v>-2.9205010224950811E-3</v>
      </c>
      <c r="S23" s="480"/>
    </row>
    <row r="24" spans="2:19" ht="15" customHeight="1" x14ac:dyDescent="0.25">
      <c r="B24" s="389">
        <v>1990</v>
      </c>
      <c r="C24" s="474">
        <v>9247.1732140978766</v>
      </c>
      <c r="D24" s="475">
        <f t="shared" si="2"/>
        <v>9247.1732140978766</v>
      </c>
      <c r="E24" s="475">
        <f t="shared" si="2"/>
        <v>9247.1732140978766</v>
      </c>
      <c r="F24" s="476">
        <f t="shared" si="2"/>
        <v>9247.1732140978766</v>
      </c>
      <c r="G24" s="477">
        <v>13744.537278758537</v>
      </c>
      <c r="H24" s="475">
        <v>13744.537278758537</v>
      </c>
      <c r="I24" s="475">
        <v>13744.537278758537</v>
      </c>
      <c r="J24" s="476">
        <v>13744.537278758537</v>
      </c>
      <c r="K24" s="478">
        <f t="shared" si="3"/>
        <v>3.9986091794158574E-2</v>
      </c>
      <c r="L24" s="438">
        <f t="shared" si="3"/>
        <v>3.9986091794158574E-2</v>
      </c>
      <c r="M24" s="438">
        <f t="shared" si="3"/>
        <v>3.9986091794158574E-2</v>
      </c>
      <c r="N24" s="479">
        <f t="shared" si="3"/>
        <v>3.9986091794158574E-2</v>
      </c>
      <c r="O24" s="437">
        <f t="shared" si="3"/>
        <v>6.039958234112186E-3</v>
      </c>
      <c r="P24" s="438">
        <f t="shared" si="3"/>
        <v>6.039958234112186E-3</v>
      </c>
      <c r="Q24" s="438">
        <f t="shared" si="3"/>
        <v>6.039958234112186E-3</v>
      </c>
      <c r="R24" s="439">
        <f t="shared" si="3"/>
        <v>6.039958234112186E-3</v>
      </c>
      <c r="S24" s="480"/>
    </row>
    <row r="25" spans="2:19" ht="15" customHeight="1" x14ac:dyDescent="0.25">
      <c r="B25" s="389">
        <v>1991</v>
      </c>
      <c r="C25" s="474">
        <v>9670.7314656296057</v>
      </c>
      <c r="D25" s="475">
        <f t="shared" si="2"/>
        <v>9670.7314656296057</v>
      </c>
      <c r="E25" s="475">
        <f t="shared" si="2"/>
        <v>9670.7314656296057</v>
      </c>
      <c r="F25" s="476">
        <f t="shared" si="2"/>
        <v>9670.7314656296057</v>
      </c>
      <c r="G25" s="477">
        <v>13919.739629695028</v>
      </c>
      <c r="H25" s="475">
        <v>13919.739629695028</v>
      </c>
      <c r="I25" s="475">
        <v>13919.739629695028</v>
      </c>
      <c r="J25" s="476">
        <v>13919.739629695028</v>
      </c>
      <c r="K25" s="478">
        <f t="shared" si="3"/>
        <v>4.5804078903376455E-2</v>
      </c>
      <c r="L25" s="438">
        <f t="shared" si="3"/>
        <v>4.5804078903376455E-2</v>
      </c>
      <c r="M25" s="438">
        <f t="shared" si="3"/>
        <v>4.5804078903376455E-2</v>
      </c>
      <c r="N25" s="479">
        <f t="shared" si="3"/>
        <v>4.5804078903376455E-2</v>
      </c>
      <c r="O25" s="437">
        <f t="shared" si="3"/>
        <v>1.2747053420798515E-2</v>
      </c>
      <c r="P25" s="438">
        <f t="shared" si="3"/>
        <v>1.2747053420798515E-2</v>
      </c>
      <c r="Q25" s="438">
        <f t="shared" si="3"/>
        <v>1.2747053420798515E-2</v>
      </c>
      <c r="R25" s="439">
        <f t="shared" si="3"/>
        <v>1.2747053420798515E-2</v>
      </c>
      <c r="S25" s="480"/>
    </row>
    <row r="26" spans="2:19" ht="15" customHeight="1" x14ac:dyDescent="0.25">
      <c r="B26" s="389">
        <v>1992</v>
      </c>
      <c r="C26" s="474">
        <v>10097.381383230913</v>
      </c>
      <c r="D26" s="475">
        <f t="shared" si="2"/>
        <v>10097.381383230913</v>
      </c>
      <c r="E26" s="475">
        <f t="shared" si="2"/>
        <v>10097.381383230913</v>
      </c>
      <c r="F26" s="476">
        <f t="shared" si="2"/>
        <v>10097.381383230913</v>
      </c>
      <c r="G26" s="477">
        <v>14207.242513652707</v>
      </c>
      <c r="H26" s="475">
        <v>14207.242513652707</v>
      </c>
      <c r="I26" s="475">
        <v>14207.242513652707</v>
      </c>
      <c r="J26" s="476">
        <v>14207.242513652707</v>
      </c>
      <c r="K26" s="478">
        <f t="shared" si="3"/>
        <v>4.4117647058823595E-2</v>
      </c>
      <c r="L26" s="438">
        <f t="shared" si="3"/>
        <v>4.4117647058823595E-2</v>
      </c>
      <c r="M26" s="438">
        <f t="shared" si="3"/>
        <v>4.4117647058823595E-2</v>
      </c>
      <c r="N26" s="479">
        <f t="shared" si="3"/>
        <v>4.4117647058823595E-2</v>
      </c>
      <c r="O26" s="437">
        <f t="shared" si="3"/>
        <v>2.0654329147389294E-2</v>
      </c>
      <c r="P26" s="438">
        <f t="shared" si="3"/>
        <v>2.0654329147389294E-2</v>
      </c>
      <c r="Q26" s="438">
        <f t="shared" si="3"/>
        <v>2.0654329147389294E-2</v>
      </c>
      <c r="R26" s="439">
        <f t="shared" si="3"/>
        <v>2.0654329147389294E-2</v>
      </c>
      <c r="S26" s="480"/>
    </row>
    <row r="27" spans="2:19" ht="15" customHeight="1" x14ac:dyDescent="0.25">
      <c r="B27" s="389">
        <v>1993</v>
      </c>
      <c r="C27" s="474">
        <v>10530.214632971371</v>
      </c>
      <c r="D27" s="475">
        <f t="shared" si="2"/>
        <v>10530.214632971371</v>
      </c>
      <c r="E27" s="475">
        <f t="shared" si="2"/>
        <v>10530.214632971371</v>
      </c>
      <c r="F27" s="476">
        <f t="shared" si="2"/>
        <v>10530.214632971371</v>
      </c>
      <c r="G27" s="477">
        <v>14510.548857373755</v>
      </c>
      <c r="H27" s="475">
        <v>14510.548857373755</v>
      </c>
      <c r="I27" s="475">
        <v>14510.548857373755</v>
      </c>
      <c r="J27" s="476">
        <v>14510.548857373755</v>
      </c>
      <c r="K27" s="478">
        <f t="shared" si="3"/>
        <v>4.2865890998162959E-2</v>
      </c>
      <c r="L27" s="438">
        <f t="shared" si="3"/>
        <v>4.2865890998162959E-2</v>
      </c>
      <c r="M27" s="438">
        <f t="shared" si="3"/>
        <v>4.2865890998162959E-2</v>
      </c>
      <c r="N27" s="479">
        <f t="shared" si="3"/>
        <v>4.2865890998162959E-2</v>
      </c>
      <c r="O27" s="437">
        <f t="shared" si="3"/>
        <v>2.134871305459729E-2</v>
      </c>
      <c r="P27" s="438">
        <f t="shared" si="3"/>
        <v>2.134871305459729E-2</v>
      </c>
      <c r="Q27" s="438">
        <f t="shared" si="3"/>
        <v>2.134871305459729E-2</v>
      </c>
      <c r="R27" s="439">
        <f t="shared" si="3"/>
        <v>2.134871305459729E-2</v>
      </c>
      <c r="S27" s="480"/>
    </row>
    <row r="28" spans="2:19" ht="15" customHeight="1" x14ac:dyDescent="0.25">
      <c r="B28" s="389">
        <v>1994</v>
      </c>
      <c r="C28" s="474">
        <v>10768.27292032862</v>
      </c>
      <c r="D28" s="475">
        <f t="shared" si="2"/>
        <v>10768.27292032862</v>
      </c>
      <c r="E28" s="475">
        <f t="shared" si="2"/>
        <v>10768.27292032862</v>
      </c>
      <c r="F28" s="476">
        <f t="shared" si="2"/>
        <v>10768.27292032862</v>
      </c>
      <c r="G28" s="477">
        <v>14597.639799168079</v>
      </c>
      <c r="H28" s="475">
        <v>14597.639799168079</v>
      </c>
      <c r="I28" s="475">
        <v>14597.639799168079</v>
      </c>
      <c r="J28" s="476">
        <v>14597.639799168079</v>
      </c>
      <c r="K28" s="478">
        <f t="shared" si="3"/>
        <v>2.2607163828537669E-2</v>
      </c>
      <c r="L28" s="438">
        <f t="shared" si="3"/>
        <v>2.2607163828537669E-2</v>
      </c>
      <c r="M28" s="438">
        <f t="shared" si="3"/>
        <v>2.2607163828537669E-2</v>
      </c>
      <c r="N28" s="479">
        <f t="shared" si="3"/>
        <v>2.2607163828537669E-2</v>
      </c>
      <c r="O28" s="437">
        <f t="shared" si="3"/>
        <v>6.0019054172486541E-3</v>
      </c>
      <c r="P28" s="438">
        <f t="shared" si="3"/>
        <v>6.0019054172486541E-3</v>
      </c>
      <c r="Q28" s="438">
        <f t="shared" si="3"/>
        <v>6.0019054172486541E-3</v>
      </c>
      <c r="R28" s="439">
        <f t="shared" si="3"/>
        <v>6.0019054172486541E-3</v>
      </c>
      <c r="S28" s="480"/>
    </row>
    <row r="29" spans="2:19" ht="15" customHeight="1" x14ac:dyDescent="0.25">
      <c r="B29" s="389">
        <v>1995</v>
      </c>
      <c r="C29" s="474">
        <v>10993.964543407572</v>
      </c>
      <c r="D29" s="475">
        <f t="shared" si="2"/>
        <v>10993.964543407572</v>
      </c>
      <c r="E29" s="475">
        <f t="shared" si="2"/>
        <v>10993.964543407572</v>
      </c>
      <c r="F29" s="476">
        <f t="shared" si="2"/>
        <v>10993.964543407572</v>
      </c>
      <c r="G29" s="477">
        <v>14626.498910472385</v>
      </c>
      <c r="H29" s="475">
        <v>14626.498910472385</v>
      </c>
      <c r="I29" s="475">
        <v>14626.498910472385</v>
      </c>
      <c r="J29" s="476">
        <v>14626.498910472385</v>
      </c>
      <c r="K29" s="478">
        <f t="shared" si="3"/>
        <v>2.0958943439563615E-2</v>
      </c>
      <c r="L29" s="438">
        <f t="shared" si="3"/>
        <v>2.0958943439563615E-2</v>
      </c>
      <c r="M29" s="438">
        <f t="shared" si="3"/>
        <v>2.0958943439563615E-2</v>
      </c>
      <c r="N29" s="479">
        <f t="shared" si="3"/>
        <v>2.0958943439563615E-2</v>
      </c>
      <c r="O29" s="437">
        <f t="shared" si="3"/>
        <v>1.9769710515771255E-3</v>
      </c>
      <c r="P29" s="438">
        <f t="shared" si="3"/>
        <v>1.9769710515771255E-3</v>
      </c>
      <c r="Q29" s="438">
        <f t="shared" si="3"/>
        <v>1.9769710515771255E-3</v>
      </c>
      <c r="R29" s="439">
        <f t="shared" si="3"/>
        <v>1.9769710515771255E-3</v>
      </c>
      <c r="S29" s="480"/>
    </row>
    <row r="30" spans="2:19" ht="15" customHeight="1" x14ac:dyDescent="0.25">
      <c r="B30" s="389">
        <v>1996</v>
      </c>
      <c r="C30" s="474">
        <v>11432.981125287177</v>
      </c>
      <c r="D30" s="475">
        <f t="shared" si="2"/>
        <v>11432.981125287177</v>
      </c>
      <c r="E30" s="475">
        <f t="shared" si="2"/>
        <v>11432.981125287177</v>
      </c>
      <c r="F30" s="476">
        <f t="shared" si="2"/>
        <v>11432.981125287177</v>
      </c>
      <c r="G30" s="477">
        <v>14913.490223063403</v>
      </c>
      <c r="H30" s="475">
        <v>14913.490223063403</v>
      </c>
      <c r="I30" s="475">
        <v>14913.490223063403</v>
      </c>
      <c r="J30" s="476">
        <v>14913.490223063403</v>
      </c>
      <c r="K30" s="478">
        <f t="shared" si="3"/>
        <v>3.9932508436445469E-2</v>
      </c>
      <c r="L30" s="438">
        <f t="shared" si="3"/>
        <v>3.9932508436445469E-2</v>
      </c>
      <c r="M30" s="438">
        <f t="shared" si="3"/>
        <v>3.9932508436445469E-2</v>
      </c>
      <c r="N30" s="479">
        <f t="shared" si="3"/>
        <v>3.9932508436445469E-2</v>
      </c>
      <c r="O30" s="437">
        <f t="shared" si="3"/>
        <v>1.9621326631046099E-2</v>
      </c>
      <c r="P30" s="438">
        <f t="shared" si="3"/>
        <v>1.9621326631046099E-2</v>
      </c>
      <c r="Q30" s="438">
        <f t="shared" si="3"/>
        <v>1.9621326631046099E-2</v>
      </c>
      <c r="R30" s="439">
        <f t="shared" si="3"/>
        <v>1.9621326631046099E-2</v>
      </c>
      <c r="S30" s="480"/>
    </row>
    <row r="31" spans="2:19" ht="15" customHeight="1" x14ac:dyDescent="0.25">
      <c r="B31" s="389">
        <v>1997</v>
      </c>
      <c r="C31" s="474">
        <v>11720.506069757623</v>
      </c>
      <c r="D31" s="475">
        <f t="shared" si="2"/>
        <v>11720.506069757623</v>
      </c>
      <c r="E31" s="475">
        <f t="shared" si="2"/>
        <v>11720.506069757623</v>
      </c>
      <c r="F31" s="476">
        <f t="shared" si="2"/>
        <v>11720.506069757623</v>
      </c>
      <c r="G31" s="477">
        <v>15111.458147597408</v>
      </c>
      <c r="H31" s="475">
        <v>15111.458147597408</v>
      </c>
      <c r="I31" s="475">
        <v>15111.458147597408</v>
      </c>
      <c r="J31" s="476">
        <v>15111.458147597408</v>
      </c>
      <c r="K31" s="478">
        <f t="shared" si="3"/>
        <v>2.5148729042725915E-2</v>
      </c>
      <c r="L31" s="438">
        <f t="shared" si="3"/>
        <v>2.5148729042725915E-2</v>
      </c>
      <c r="M31" s="438">
        <f t="shared" si="3"/>
        <v>2.5148729042725915E-2</v>
      </c>
      <c r="N31" s="479">
        <f t="shared" si="3"/>
        <v>2.5148729042725915E-2</v>
      </c>
      <c r="O31" s="437">
        <f t="shared" si="3"/>
        <v>1.3274419439914364E-2</v>
      </c>
      <c r="P31" s="438">
        <f t="shared" si="3"/>
        <v>1.3274419439914364E-2</v>
      </c>
      <c r="Q31" s="438">
        <f t="shared" si="3"/>
        <v>1.3274419439914364E-2</v>
      </c>
      <c r="R31" s="439">
        <f t="shared" si="3"/>
        <v>1.3274419439914364E-2</v>
      </c>
      <c r="S31" s="480"/>
    </row>
    <row r="32" spans="2:19" ht="15" customHeight="1" x14ac:dyDescent="0.25">
      <c r="B32" s="389">
        <v>1998</v>
      </c>
      <c r="C32" s="474">
        <v>12190.439312332972</v>
      </c>
      <c r="D32" s="475">
        <f t="shared" si="2"/>
        <v>12190.439312332972</v>
      </c>
      <c r="E32" s="475">
        <f t="shared" si="2"/>
        <v>12190.439312332972</v>
      </c>
      <c r="F32" s="476">
        <f t="shared" si="2"/>
        <v>12190.439312332972</v>
      </c>
      <c r="G32" s="477">
        <v>15616.856909328862</v>
      </c>
      <c r="H32" s="475">
        <v>15616.856909328862</v>
      </c>
      <c r="I32" s="475">
        <v>15616.856909328862</v>
      </c>
      <c r="J32" s="476">
        <v>15616.856909328862</v>
      </c>
      <c r="K32" s="478">
        <f t="shared" si="3"/>
        <v>4.00949617515165E-2</v>
      </c>
      <c r="L32" s="438">
        <f t="shared" si="3"/>
        <v>4.00949617515165E-2</v>
      </c>
      <c r="M32" s="438">
        <f t="shared" si="3"/>
        <v>4.00949617515165E-2</v>
      </c>
      <c r="N32" s="479">
        <f t="shared" si="3"/>
        <v>4.00949617515165E-2</v>
      </c>
      <c r="O32" s="437">
        <f t="shared" si="3"/>
        <v>3.3444738210905767E-2</v>
      </c>
      <c r="P32" s="438">
        <f t="shared" si="3"/>
        <v>3.3444738210905767E-2</v>
      </c>
      <c r="Q32" s="438">
        <f t="shared" si="3"/>
        <v>3.3444738210905767E-2</v>
      </c>
      <c r="R32" s="439">
        <f t="shared" si="3"/>
        <v>3.3444738210905767E-2</v>
      </c>
      <c r="S32" s="480"/>
    </row>
    <row r="33" spans="2:20" ht="15" customHeight="1" x14ac:dyDescent="0.25">
      <c r="B33" s="389">
        <v>1999</v>
      </c>
      <c r="C33" s="474">
        <v>12434.680931829374</v>
      </c>
      <c r="D33" s="475">
        <f t="shared" si="2"/>
        <v>12434.680931829374</v>
      </c>
      <c r="E33" s="475">
        <f t="shared" si="2"/>
        <v>12434.680931829374</v>
      </c>
      <c r="F33" s="476">
        <f t="shared" si="2"/>
        <v>12434.680931829374</v>
      </c>
      <c r="G33" s="477">
        <v>15848.681116420699</v>
      </c>
      <c r="H33" s="475">
        <v>15848.681116420699</v>
      </c>
      <c r="I33" s="475">
        <v>15848.681116420699</v>
      </c>
      <c r="J33" s="476">
        <v>15848.681116420699</v>
      </c>
      <c r="K33" s="478">
        <f t="shared" si="3"/>
        <v>2.0035505959929312E-2</v>
      </c>
      <c r="L33" s="438">
        <f t="shared" si="3"/>
        <v>2.0035505959929312E-2</v>
      </c>
      <c r="M33" s="438">
        <f t="shared" si="3"/>
        <v>2.0035505959929312E-2</v>
      </c>
      <c r="N33" s="479">
        <f t="shared" si="3"/>
        <v>2.0035505959929312E-2</v>
      </c>
      <c r="O33" s="437">
        <f t="shared" si="3"/>
        <v>1.4844485573364929E-2</v>
      </c>
      <c r="P33" s="438">
        <f t="shared" si="3"/>
        <v>1.4844485573364929E-2</v>
      </c>
      <c r="Q33" s="438">
        <f t="shared" si="3"/>
        <v>1.4844485573364929E-2</v>
      </c>
      <c r="R33" s="439">
        <f t="shared" si="3"/>
        <v>1.4844485573364929E-2</v>
      </c>
      <c r="S33" s="480"/>
    </row>
    <row r="34" spans="2:20" ht="15" customHeight="1" x14ac:dyDescent="0.25">
      <c r="B34" s="389">
        <v>2000</v>
      </c>
      <c r="C34" s="474">
        <v>12589.264235308108</v>
      </c>
      <c r="D34" s="475">
        <f t="shared" si="2"/>
        <v>12589.264235308108</v>
      </c>
      <c r="E34" s="475">
        <f t="shared" si="2"/>
        <v>12589.264235308108</v>
      </c>
      <c r="F34" s="476">
        <f t="shared" si="2"/>
        <v>12589.264235308108</v>
      </c>
      <c r="G34" s="477">
        <v>15784.636934833119</v>
      </c>
      <c r="H34" s="475">
        <v>15784.636934833119</v>
      </c>
      <c r="I34" s="475">
        <v>15784.636934833119</v>
      </c>
      <c r="J34" s="476">
        <v>15784.636934833119</v>
      </c>
      <c r="K34" s="478">
        <f t="shared" si="3"/>
        <v>1.2431626056688128E-2</v>
      </c>
      <c r="L34" s="438">
        <f t="shared" si="3"/>
        <v>1.2431626056688128E-2</v>
      </c>
      <c r="M34" s="438">
        <f t="shared" si="3"/>
        <v>1.2431626056688128E-2</v>
      </c>
      <c r="N34" s="479">
        <f t="shared" si="3"/>
        <v>1.2431626056688128E-2</v>
      </c>
      <c r="O34" s="437">
        <f t="shared" si="3"/>
        <v>-4.0409786225823474E-3</v>
      </c>
      <c r="P34" s="438">
        <f t="shared" si="3"/>
        <v>-4.0409786225823474E-3</v>
      </c>
      <c r="Q34" s="438">
        <f t="shared" si="3"/>
        <v>-4.0409786225823474E-3</v>
      </c>
      <c r="R34" s="439">
        <f t="shared" si="3"/>
        <v>-4.0409786225823474E-3</v>
      </c>
      <c r="S34" s="480"/>
    </row>
    <row r="35" spans="2:20" ht="15" customHeight="1" x14ac:dyDescent="0.25">
      <c r="B35" s="389">
        <v>2001</v>
      </c>
      <c r="C35" s="474">
        <v>12991.180824352818</v>
      </c>
      <c r="D35" s="475">
        <f t="shared" si="2"/>
        <v>12991.180824352818</v>
      </c>
      <c r="E35" s="475">
        <f t="shared" si="2"/>
        <v>12991.180824352818</v>
      </c>
      <c r="F35" s="476">
        <f t="shared" si="2"/>
        <v>12991.180824352818</v>
      </c>
      <c r="G35" s="477">
        <v>16027.789347089472</v>
      </c>
      <c r="H35" s="475">
        <v>16027.789347089472</v>
      </c>
      <c r="I35" s="475">
        <v>16027.789347089472</v>
      </c>
      <c r="J35" s="476">
        <v>16027.789347089472</v>
      </c>
      <c r="K35" s="478">
        <f t="shared" si="3"/>
        <v>3.1925343811394891E-2</v>
      </c>
      <c r="L35" s="438">
        <f t="shared" si="3"/>
        <v>3.1925343811394891E-2</v>
      </c>
      <c r="M35" s="438">
        <f t="shared" si="3"/>
        <v>3.1925343811394891E-2</v>
      </c>
      <c r="N35" s="479">
        <f t="shared" si="3"/>
        <v>3.1925343811394891E-2</v>
      </c>
      <c r="O35" s="437">
        <f t="shared" si="3"/>
        <v>1.5404371558256802E-2</v>
      </c>
      <c r="P35" s="438">
        <f t="shared" si="3"/>
        <v>1.5404371558256802E-2</v>
      </c>
      <c r="Q35" s="438">
        <f t="shared" si="3"/>
        <v>1.5404371558256802E-2</v>
      </c>
      <c r="R35" s="439">
        <f t="shared" si="3"/>
        <v>1.5404371558256802E-2</v>
      </c>
      <c r="S35" s="480"/>
    </row>
    <row r="36" spans="2:20" ht="15" customHeight="1" x14ac:dyDescent="0.25">
      <c r="B36" s="389">
        <v>2002</v>
      </c>
      <c r="C36" s="474">
        <v>13526.76</v>
      </c>
      <c r="D36" s="475">
        <f t="shared" si="2"/>
        <v>13526.76</v>
      </c>
      <c r="E36" s="475">
        <f t="shared" si="2"/>
        <v>13526.76</v>
      </c>
      <c r="F36" s="476">
        <f t="shared" si="2"/>
        <v>13526.76</v>
      </c>
      <c r="G36" s="477">
        <v>16366.072666666669</v>
      </c>
      <c r="H36" s="475">
        <v>16366.072666666669</v>
      </c>
      <c r="I36" s="475">
        <v>16366.072666666669</v>
      </c>
      <c r="J36" s="476">
        <v>16366.072666666669</v>
      </c>
      <c r="K36" s="478">
        <f t="shared" si="3"/>
        <v>4.1226366016182681E-2</v>
      </c>
      <c r="L36" s="438">
        <f t="shared" si="3"/>
        <v>4.1226366016182681E-2</v>
      </c>
      <c r="M36" s="438">
        <f t="shared" si="3"/>
        <v>4.1226366016182681E-2</v>
      </c>
      <c r="N36" s="479">
        <f t="shared" si="3"/>
        <v>4.1226366016182681E-2</v>
      </c>
      <c r="O36" s="437">
        <f t="shared" si="3"/>
        <v>2.110604976466246E-2</v>
      </c>
      <c r="P36" s="438">
        <f t="shared" si="3"/>
        <v>2.110604976466246E-2</v>
      </c>
      <c r="Q36" s="438">
        <f t="shared" si="3"/>
        <v>2.110604976466246E-2</v>
      </c>
      <c r="R36" s="439">
        <f t="shared" si="3"/>
        <v>2.110604976466246E-2</v>
      </c>
      <c r="S36" s="480"/>
    </row>
    <row r="37" spans="2:20" ht="15" customHeight="1" x14ac:dyDescent="0.25">
      <c r="B37" s="389">
        <v>2003</v>
      </c>
      <c r="C37" s="474">
        <v>13851.24</v>
      </c>
      <c r="D37" s="475">
        <f t="shared" si="2"/>
        <v>13851.24</v>
      </c>
      <c r="E37" s="475">
        <f t="shared" si="2"/>
        <v>13851.24</v>
      </c>
      <c r="F37" s="476">
        <f t="shared" si="2"/>
        <v>13851.24</v>
      </c>
      <c r="G37" s="477">
        <v>16421.5056</v>
      </c>
      <c r="H37" s="475">
        <v>16421.5056</v>
      </c>
      <c r="I37" s="475">
        <v>16421.5056</v>
      </c>
      <c r="J37" s="476">
        <v>16421.5056</v>
      </c>
      <c r="K37" s="478">
        <f t="shared" si="3"/>
        <v>2.398800599700146E-2</v>
      </c>
      <c r="L37" s="438">
        <f t="shared" si="3"/>
        <v>2.398800599700146E-2</v>
      </c>
      <c r="M37" s="438">
        <f t="shared" si="3"/>
        <v>2.398800599700146E-2</v>
      </c>
      <c r="N37" s="479">
        <f t="shared" si="3"/>
        <v>2.398800599700146E-2</v>
      </c>
      <c r="O37" s="437">
        <f t="shared" si="3"/>
        <v>3.387063864517259E-3</v>
      </c>
      <c r="P37" s="438">
        <f t="shared" si="3"/>
        <v>3.387063864517259E-3</v>
      </c>
      <c r="Q37" s="438">
        <f t="shared" si="3"/>
        <v>3.387063864517259E-3</v>
      </c>
      <c r="R37" s="439">
        <f t="shared" si="3"/>
        <v>3.387063864517259E-3</v>
      </c>
      <c r="S37" s="480"/>
    </row>
    <row r="38" spans="2:20" ht="15" customHeight="1" x14ac:dyDescent="0.25">
      <c r="B38" s="389">
        <v>2004</v>
      </c>
      <c r="C38" s="474">
        <v>14581.32</v>
      </c>
      <c r="D38" s="475">
        <f t="shared" ref="D38:F53" si="4">C38</f>
        <v>14581.32</v>
      </c>
      <c r="E38" s="475">
        <f t="shared" si="4"/>
        <v>14581.32</v>
      </c>
      <c r="F38" s="476">
        <f t="shared" si="4"/>
        <v>14581.32</v>
      </c>
      <c r="G38" s="477">
        <v>16926.496380069526</v>
      </c>
      <c r="H38" s="475">
        <v>16926.496380069526</v>
      </c>
      <c r="I38" s="475">
        <v>16926.496380069526</v>
      </c>
      <c r="J38" s="476">
        <v>16926.496380069526</v>
      </c>
      <c r="K38" s="478">
        <f t="shared" si="3"/>
        <v>5.2708638360175586E-2</v>
      </c>
      <c r="L38" s="438">
        <f t="shared" si="3"/>
        <v>5.2708638360175586E-2</v>
      </c>
      <c r="M38" s="438">
        <f t="shared" si="3"/>
        <v>5.2708638360175586E-2</v>
      </c>
      <c r="N38" s="479">
        <f t="shared" si="3"/>
        <v>5.2708638360175586E-2</v>
      </c>
      <c r="O38" s="437">
        <f t="shared" si="3"/>
        <v>3.0751795381632085E-2</v>
      </c>
      <c r="P38" s="438">
        <f t="shared" si="3"/>
        <v>3.0751795381632085E-2</v>
      </c>
      <c r="Q38" s="438">
        <f t="shared" si="3"/>
        <v>3.0751795381632085E-2</v>
      </c>
      <c r="R38" s="439">
        <f t="shared" si="3"/>
        <v>3.0751795381632085E-2</v>
      </c>
      <c r="S38" s="480"/>
    </row>
    <row r="39" spans="2:20" ht="15" customHeight="1" x14ac:dyDescent="0.25">
      <c r="B39" s="389">
        <v>2005</v>
      </c>
      <c r="C39" s="474">
        <v>15433.079999999998</v>
      </c>
      <c r="D39" s="475">
        <f t="shared" si="4"/>
        <v>15433.079999999998</v>
      </c>
      <c r="E39" s="475">
        <f t="shared" si="4"/>
        <v>15433.079999999998</v>
      </c>
      <c r="F39" s="476">
        <f t="shared" si="4"/>
        <v>15433.079999999998</v>
      </c>
      <c r="G39" s="477">
        <v>17589.146238907848</v>
      </c>
      <c r="H39" s="475">
        <v>17589.146238907848</v>
      </c>
      <c r="I39" s="475">
        <v>17589.146238907848</v>
      </c>
      <c r="J39" s="476">
        <v>17589.146238907848</v>
      </c>
      <c r="K39" s="478">
        <f t="shared" si="3"/>
        <v>5.841446453407495E-2</v>
      </c>
      <c r="L39" s="438">
        <f t="shared" si="3"/>
        <v>5.841446453407495E-2</v>
      </c>
      <c r="M39" s="438">
        <f t="shared" si="3"/>
        <v>5.841446453407495E-2</v>
      </c>
      <c r="N39" s="479">
        <f t="shared" si="3"/>
        <v>5.841446453407495E-2</v>
      </c>
      <c r="O39" s="437">
        <f t="shared" si="3"/>
        <v>3.9148672233113357E-2</v>
      </c>
      <c r="P39" s="438">
        <f t="shared" si="3"/>
        <v>3.9148672233113357E-2</v>
      </c>
      <c r="Q39" s="438">
        <f t="shared" si="3"/>
        <v>3.9148672233113357E-2</v>
      </c>
      <c r="R39" s="439">
        <f t="shared" si="3"/>
        <v>3.9148672233113357E-2</v>
      </c>
      <c r="S39" s="480"/>
    </row>
    <row r="40" spans="2:20" ht="15" customHeight="1" x14ac:dyDescent="0.25">
      <c r="B40" s="389">
        <v>2006</v>
      </c>
      <c r="C40" s="474">
        <v>16284.839999999998</v>
      </c>
      <c r="D40" s="475">
        <f t="shared" si="4"/>
        <v>16284.839999999998</v>
      </c>
      <c r="E40" s="475">
        <f t="shared" si="4"/>
        <v>16284.839999999998</v>
      </c>
      <c r="F40" s="476">
        <f t="shared" si="4"/>
        <v>16284.839999999998</v>
      </c>
      <c r="G40" s="477">
        <v>18262.792692264637</v>
      </c>
      <c r="H40" s="475">
        <v>18262.792692264637</v>
      </c>
      <c r="I40" s="475">
        <v>18262.792692264637</v>
      </c>
      <c r="J40" s="476">
        <v>18262.792692264637</v>
      </c>
      <c r="K40" s="478">
        <f t="shared" si="3"/>
        <v>5.5190538764783303E-2</v>
      </c>
      <c r="L40" s="438">
        <f t="shared" si="3"/>
        <v>5.5190538764783303E-2</v>
      </c>
      <c r="M40" s="438">
        <f t="shared" si="3"/>
        <v>5.5190538764783303E-2</v>
      </c>
      <c r="N40" s="479">
        <f t="shared" si="3"/>
        <v>5.5190538764783303E-2</v>
      </c>
      <c r="O40" s="437">
        <f t="shared" si="3"/>
        <v>3.8298985306441935E-2</v>
      </c>
      <c r="P40" s="438">
        <f t="shared" si="3"/>
        <v>3.8298985306441935E-2</v>
      </c>
      <c r="Q40" s="438">
        <f t="shared" si="3"/>
        <v>3.8298985306441935E-2</v>
      </c>
      <c r="R40" s="439">
        <f t="shared" si="3"/>
        <v>3.8298985306441935E-2</v>
      </c>
      <c r="S40" s="480"/>
    </row>
    <row r="41" spans="2:20" ht="15" customHeight="1" x14ac:dyDescent="0.25">
      <c r="B41" s="389">
        <v>2007</v>
      </c>
      <c r="C41" s="474">
        <v>16771.560000000001</v>
      </c>
      <c r="D41" s="475">
        <f t="shared" si="4"/>
        <v>16771.560000000001</v>
      </c>
      <c r="E41" s="475">
        <f t="shared" si="4"/>
        <v>16771.560000000001</v>
      </c>
      <c r="F41" s="476">
        <f t="shared" si="4"/>
        <v>16771.560000000001</v>
      </c>
      <c r="G41" s="477">
        <v>18532.703295830575</v>
      </c>
      <c r="H41" s="475">
        <v>18532.703295830575</v>
      </c>
      <c r="I41" s="475">
        <v>18532.703295830575</v>
      </c>
      <c r="J41" s="476">
        <v>18532.703295830575</v>
      </c>
      <c r="K41" s="478">
        <f t="shared" si="3"/>
        <v>2.9887920298879322E-2</v>
      </c>
      <c r="L41" s="438">
        <f t="shared" si="3"/>
        <v>2.9887920298879322E-2</v>
      </c>
      <c r="M41" s="438">
        <f t="shared" si="3"/>
        <v>2.9887920298879322E-2</v>
      </c>
      <c r="N41" s="479">
        <f t="shared" si="3"/>
        <v>2.9887920298879322E-2</v>
      </c>
      <c r="O41" s="437">
        <f t="shared" si="3"/>
        <v>1.4779262301995111E-2</v>
      </c>
      <c r="P41" s="438">
        <f t="shared" si="3"/>
        <v>1.4779262301995111E-2</v>
      </c>
      <c r="Q41" s="438">
        <f t="shared" si="3"/>
        <v>1.4779262301995111E-2</v>
      </c>
      <c r="R41" s="439">
        <f t="shared" si="3"/>
        <v>1.4779262301995111E-2</v>
      </c>
      <c r="S41" s="480"/>
    </row>
    <row r="42" spans="2:20" ht="15" customHeight="1" x14ac:dyDescent="0.25">
      <c r="B42" s="389">
        <v>2008</v>
      </c>
      <c r="C42" s="474">
        <v>17116.319999999996</v>
      </c>
      <c r="D42" s="475">
        <f t="shared" si="4"/>
        <v>17116.319999999996</v>
      </c>
      <c r="E42" s="475">
        <f t="shared" si="4"/>
        <v>17116.319999999996</v>
      </c>
      <c r="F42" s="476">
        <f t="shared" si="4"/>
        <v>17116.319999999996</v>
      </c>
      <c r="G42" s="477">
        <v>18396.233640167364</v>
      </c>
      <c r="H42" s="475">
        <v>18396.233640167364</v>
      </c>
      <c r="I42" s="475">
        <v>18396.233640167364</v>
      </c>
      <c r="J42" s="476">
        <v>18396.233640167364</v>
      </c>
      <c r="K42" s="478">
        <f t="shared" si="3"/>
        <v>2.0556227327690024E-2</v>
      </c>
      <c r="L42" s="438">
        <f t="shared" si="3"/>
        <v>2.0556227327690024E-2</v>
      </c>
      <c r="M42" s="438">
        <f t="shared" si="3"/>
        <v>2.0556227327690024E-2</v>
      </c>
      <c r="N42" s="479">
        <f t="shared" si="3"/>
        <v>2.0556227327690024E-2</v>
      </c>
      <c r="O42" s="437">
        <f t="shared" si="3"/>
        <v>-7.3637209577468443E-3</v>
      </c>
      <c r="P42" s="438">
        <f t="shared" si="3"/>
        <v>-7.3637209577468443E-3</v>
      </c>
      <c r="Q42" s="438">
        <f t="shared" si="3"/>
        <v>-7.3637209577468443E-3</v>
      </c>
      <c r="R42" s="439">
        <f t="shared" si="3"/>
        <v>-7.3637209577468443E-3</v>
      </c>
      <c r="S42" s="480"/>
      <c r="T42" s="481"/>
    </row>
    <row r="43" spans="2:20" ht="15" customHeight="1" x14ac:dyDescent="0.25">
      <c r="B43" s="389">
        <v>2009</v>
      </c>
      <c r="C43" s="474">
        <v>17663.879999999997</v>
      </c>
      <c r="D43" s="475">
        <f t="shared" si="4"/>
        <v>17663.879999999997</v>
      </c>
      <c r="E43" s="475">
        <f t="shared" si="4"/>
        <v>17663.879999999997</v>
      </c>
      <c r="F43" s="476">
        <f t="shared" si="4"/>
        <v>17663.879999999997</v>
      </c>
      <c r="G43" s="477">
        <v>18968.458552899556</v>
      </c>
      <c r="H43" s="475">
        <v>18968.458552899556</v>
      </c>
      <c r="I43" s="475">
        <v>18968.458552899556</v>
      </c>
      <c r="J43" s="476">
        <v>18968.458552899556</v>
      </c>
      <c r="K43" s="478">
        <f t="shared" si="3"/>
        <v>3.199052132701441E-2</v>
      </c>
      <c r="L43" s="438">
        <f t="shared" si="3"/>
        <v>3.199052132701441E-2</v>
      </c>
      <c r="M43" s="438">
        <f t="shared" si="3"/>
        <v>3.199052132701441E-2</v>
      </c>
      <c r="N43" s="479">
        <f t="shared" si="3"/>
        <v>3.199052132701441E-2</v>
      </c>
      <c r="O43" s="437">
        <f t="shared" si="3"/>
        <v>3.1105547142147749E-2</v>
      </c>
      <c r="P43" s="438">
        <f t="shared" si="3"/>
        <v>3.1105547142147749E-2</v>
      </c>
      <c r="Q43" s="438">
        <f t="shared" si="3"/>
        <v>3.1105547142147749E-2</v>
      </c>
      <c r="R43" s="439">
        <f t="shared" si="3"/>
        <v>3.1105547142147749E-2</v>
      </c>
      <c r="S43" s="480"/>
      <c r="T43" s="481"/>
    </row>
    <row r="44" spans="2:20" ht="15" customHeight="1" x14ac:dyDescent="0.25">
      <c r="B44" s="389">
        <v>2010</v>
      </c>
      <c r="C44" s="474">
        <v>17886.96</v>
      </c>
      <c r="D44" s="475">
        <f t="shared" si="4"/>
        <v>17886.96</v>
      </c>
      <c r="E44" s="475">
        <f t="shared" si="4"/>
        <v>17886.96</v>
      </c>
      <c r="F44" s="476">
        <f t="shared" si="4"/>
        <v>17886.96</v>
      </c>
      <c r="G44" s="477">
        <v>18920.025898004435</v>
      </c>
      <c r="H44" s="475">
        <v>18920.025898004435</v>
      </c>
      <c r="I44" s="475">
        <v>18920.025898004435</v>
      </c>
      <c r="J44" s="476">
        <v>18920.025898004435</v>
      </c>
      <c r="K44" s="478">
        <f t="shared" si="3"/>
        <v>1.2629161882893314E-2</v>
      </c>
      <c r="L44" s="438">
        <f t="shared" si="3"/>
        <v>1.2629161882893314E-2</v>
      </c>
      <c r="M44" s="438">
        <f t="shared" si="3"/>
        <v>1.2629161882893314E-2</v>
      </c>
      <c r="N44" s="479">
        <f t="shared" si="3"/>
        <v>1.2629161882893314E-2</v>
      </c>
      <c r="O44" s="437">
        <f t="shared" si="3"/>
        <v>-2.5533258150656213E-3</v>
      </c>
      <c r="P44" s="438">
        <f t="shared" si="3"/>
        <v>-2.5533258150656213E-3</v>
      </c>
      <c r="Q44" s="438">
        <f t="shared" si="3"/>
        <v>-2.5533258150656213E-3</v>
      </c>
      <c r="R44" s="439">
        <f t="shared" si="3"/>
        <v>-2.5533258150656213E-3</v>
      </c>
      <c r="S44" s="480"/>
      <c r="T44" s="481"/>
    </row>
    <row r="45" spans="2:20" ht="15" customHeight="1" x14ac:dyDescent="0.25">
      <c r="B45" s="389">
        <v>2011</v>
      </c>
      <c r="C45" s="474">
        <v>17968.079999999998</v>
      </c>
      <c r="D45" s="475">
        <f t="shared" si="4"/>
        <v>17968.079999999998</v>
      </c>
      <c r="E45" s="475">
        <f t="shared" si="4"/>
        <v>17968.079999999998</v>
      </c>
      <c r="F45" s="476">
        <f t="shared" si="4"/>
        <v>17968.079999999998</v>
      </c>
      <c r="G45" s="477">
        <v>18612.78310826181</v>
      </c>
      <c r="H45" s="475">
        <v>18612.78310826181</v>
      </c>
      <c r="I45" s="475">
        <v>18612.78310826181</v>
      </c>
      <c r="J45" s="476">
        <v>18612.78310826181</v>
      </c>
      <c r="K45" s="478">
        <f t="shared" si="3"/>
        <v>4.5351473922901064E-3</v>
      </c>
      <c r="L45" s="438">
        <f t="shared" si="3"/>
        <v>4.5351473922901064E-3</v>
      </c>
      <c r="M45" s="438">
        <f t="shared" si="3"/>
        <v>4.5351473922901064E-3</v>
      </c>
      <c r="N45" s="479">
        <f t="shared" si="3"/>
        <v>4.5351473922901064E-3</v>
      </c>
      <c r="O45" s="437">
        <f t="shared" si="3"/>
        <v>-1.6239025855404932E-2</v>
      </c>
      <c r="P45" s="438">
        <f t="shared" si="3"/>
        <v>-1.6239025855404932E-2</v>
      </c>
      <c r="Q45" s="438">
        <f t="shared" si="3"/>
        <v>-1.6239025855404932E-2</v>
      </c>
      <c r="R45" s="439">
        <f t="shared" si="3"/>
        <v>-1.6239025855404932E-2</v>
      </c>
      <c r="S45" s="480"/>
      <c r="T45" s="481"/>
    </row>
    <row r="46" spans="2:20" ht="15" customHeight="1" x14ac:dyDescent="0.25">
      <c r="B46" s="389">
        <v>2012</v>
      </c>
      <c r="C46" s="474">
        <v>18252</v>
      </c>
      <c r="D46" s="475">
        <f t="shared" si="4"/>
        <v>18252</v>
      </c>
      <c r="E46" s="475">
        <f t="shared" si="4"/>
        <v>18252</v>
      </c>
      <c r="F46" s="476">
        <f t="shared" si="4"/>
        <v>18252</v>
      </c>
      <c r="G46" s="477">
        <v>18544.47626774848</v>
      </c>
      <c r="H46" s="475">
        <v>18544.47626774848</v>
      </c>
      <c r="I46" s="475">
        <v>18544.47626774848</v>
      </c>
      <c r="J46" s="476">
        <v>18544.47626774848</v>
      </c>
      <c r="K46" s="478">
        <f t="shared" si="3"/>
        <v>1.5801354401806078E-2</v>
      </c>
      <c r="L46" s="438">
        <f t="shared" si="3"/>
        <v>1.5801354401806078E-2</v>
      </c>
      <c r="M46" s="438">
        <f t="shared" si="3"/>
        <v>1.5801354401806078E-2</v>
      </c>
      <c r="N46" s="479">
        <f t="shared" si="3"/>
        <v>1.5801354401806078E-2</v>
      </c>
      <c r="O46" s="437">
        <f t="shared" si="3"/>
        <v>-3.6698885983907914E-3</v>
      </c>
      <c r="P46" s="438">
        <f t="shared" si="3"/>
        <v>-3.6698885983907914E-3</v>
      </c>
      <c r="Q46" s="438">
        <f t="shared" si="3"/>
        <v>-3.6698885983907914E-3</v>
      </c>
      <c r="R46" s="439">
        <f t="shared" si="3"/>
        <v>-3.6698885983907914E-3</v>
      </c>
      <c r="S46" s="480"/>
      <c r="T46" s="481"/>
    </row>
    <row r="47" spans="2:20" ht="15" customHeight="1" x14ac:dyDescent="0.25">
      <c r="B47" s="389">
        <v>2013</v>
      </c>
      <c r="C47" s="474">
        <v>19063.2</v>
      </c>
      <c r="D47" s="475">
        <f t="shared" si="4"/>
        <v>19063.2</v>
      </c>
      <c r="E47" s="475">
        <f t="shared" si="4"/>
        <v>19063.2</v>
      </c>
      <c r="F47" s="476">
        <f t="shared" si="4"/>
        <v>19063.2</v>
      </c>
      <c r="G47" s="477">
        <v>19201.200241303039</v>
      </c>
      <c r="H47" s="475">
        <v>19201.200241303039</v>
      </c>
      <c r="I47" s="475">
        <v>19201.200241303039</v>
      </c>
      <c r="J47" s="476">
        <v>19201.200241303039</v>
      </c>
      <c r="K47" s="478">
        <f t="shared" si="3"/>
        <v>4.4444444444444509E-2</v>
      </c>
      <c r="L47" s="438">
        <f t="shared" si="3"/>
        <v>4.4444444444444509E-2</v>
      </c>
      <c r="M47" s="438">
        <f t="shared" si="3"/>
        <v>4.4444444444444509E-2</v>
      </c>
      <c r="N47" s="479">
        <f t="shared" si="3"/>
        <v>4.4444444444444509E-2</v>
      </c>
      <c r="O47" s="437">
        <f t="shared" si="3"/>
        <v>3.5413454878566508E-2</v>
      </c>
      <c r="P47" s="438">
        <f t="shared" si="3"/>
        <v>3.5413454878566508E-2</v>
      </c>
      <c r="Q47" s="438">
        <f t="shared" si="3"/>
        <v>3.5413454878566508E-2</v>
      </c>
      <c r="R47" s="439">
        <f t="shared" si="3"/>
        <v>3.5413454878566508E-2</v>
      </c>
      <c r="S47" s="480"/>
      <c r="T47" s="481"/>
    </row>
    <row r="48" spans="2:20" ht="15" customHeight="1" x14ac:dyDescent="0.25">
      <c r="B48" s="389">
        <v>2014</v>
      </c>
      <c r="C48" s="474">
        <v>19124.04</v>
      </c>
      <c r="D48" s="475">
        <f t="shared" si="4"/>
        <v>19124.04</v>
      </c>
      <c r="E48" s="475">
        <f t="shared" si="4"/>
        <v>19124.04</v>
      </c>
      <c r="F48" s="476">
        <f t="shared" si="4"/>
        <v>19124.04</v>
      </c>
      <c r="G48" s="477">
        <v>19166.129723889557</v>
      </c>
      <c r="H48" s="475">
        <v>19166.129723889557</v>
      </c>
      <c r="I48" s="475">
        <v>19166.129723889557</v>
      </c>
      <c r="J48" s="476">
        <v>19166.129723889557</v>
      </c>
      <c r="K48" s="478">
        <f t="shared" si="3"/>
        <v>3.1914893617022155E-3</v>
      </c>
      <c r="L48" s="438">
        <f t="shared" si="3"/>
        <v>3.1914893617022155E-3</v>
      </c>
      <c r="M48" s="438">
        <f t="shared" si="3"/>
        <v>3.1914893617022155E-3</v>
      </c>
      <c r="N48" s="479">
        <f t="shared" si="3"/>
        <v>3.1914893617022155E-3</v>
      </c>
      <c r="O48" s="437">
        <f t="shared" si="3"/>
        <v>-1.8264752709594712E-3</v>
      </c>
      <c r="P48" s="438">
        <f t="shared" si="3"/>
        <v>-1.8264752709594712E-3</v>
      </c>
      <c r="Q48" s="438">
        <f t="shared" si="3"/>
        <v>-1.8264752709594712E-3</v>
      </c>
      <c r="R48" s="439">
        <f t="shared" si="3"/>
        <v>-1.8264752709594712E-3</v>
      </c>
      <c r="S48" s="480"/>
      <c r="T48" s="481"/>
    </row>
    <row r="49" spans="2:20" ht="15" customHeight="1" x14ac:dyDescent="0.25">
      <c r="B49" s="389">
        <v>2015</v>
      </c>
      <c r="C49" s="474">
        <v>19326.84</v>
      </c>
      <c r="D49" s="475">
        <f t="shared" si="4"/>
        <v>19326.84</v>
      </c>
      <c r="E49" s="475">
        <f t="shared" si="4"/>
        <v>19326.84</v>
      </c>
      <c r="F49" s="476">
        <f t="shared" si="4"/>
        <v>19326.84</v>
      </c>
      <c r="G49" s="477">
        <v>19361.628312000001</v>
      </c>
      <c r="H49" s="475">
        <v>19361.628312000001</v>
      </c>
      <c r="I49" s="475">
        <v>19361.628312000001</v>
      </c>
      <c r="J49" s="476">
        <v>19361.628312000001</v>
      </c>
      <c r="K49" s="478">
        <f t="shared" si="3"/>
        <v>1.0604453870625585E-2</v>
      </c>
      <c r="L49" s="438">
        <f t="shared" si="3"/>
        <v>1.0604453870625585E-2</v>
      </c>
      <c r="M49" s="438">
        <f t="shared" si="3"/>
        <v>1.0604453870625585E-2</v>
      </c>
      <c r="N49" s="479">
        <f t="shared" si="3"/>
        <v>1.0604453870625585E-2</v>
      </c>
      <c r="O49" s="437">
        <f t="shared" si="3"/>
        <v>1.0200212089077398E-2</v>
      </c>
      <c r="P49" s="438">
        <f t="shared" si="3"/>
        <v>1.0200212089077398E-2</v>
      </c>
      <c r="Q49" s="438">
        <f t="shared" si="3"/>
        <v>1.0200212089077398E-2</v>
      </c>
      <c r="R49" s="439">
        <f t="shared" si="3"/>
        <v>1.0200212089077398E-2</v>
      </c>
      <c r="S49" s="480"/>
      <c r="T49" s="481"/>
    </row>
    <row r="50" spans="2:20" ht="15" customHeight="1" x14ac:dyDescent="0.25">
      <c r="B50" s="389">
        <v>2016</v>
      </c>
      <c r="C50" s="474">
        <v>19489.079999999998</v>
      </c>
      <c r="D50" s="475">
        <f t="shared" si="4"/>
        <v>19489.079999999998</v>
      </c>
      <c r="E50" s="475">
        <f t="shared" si="4"/>
        <v>19489.079999999998</v>
      </c>
      <c r="F50" s="476">
        <f t="shared" si="4"/>
        <v>19489.079999999998</v>
      </c>
      <c r="G50" s="477">
        <v>19489.079999999998</v>
      </c>
      <c r="H50" s="475">
        <v>19489.079999999998</v>
      </c>
      <c r="I50" s="475">
        <v>19489.079999999998</v>
      </c>
      <c r="J50" s="476">
        <v>19489.079999999998</v>
      </c>
      <c r="K50" s="478">
        <f t="shared" si="3"/>
        <v>8.394543546694555E-3</v>
      </c>
      <c r="L50" s="438">
        <f t="shared" si="3"/>
        <v>8.394543546694555E-3</v>
      </c>
      <c r="M50" s="438">
        <f t="shared" si="3"/>
        <v>8.394543546694555E-3</v>
      </c>
      <c r="N50" s="479">
        <f t="shared" si="3"/>
        <v>8.394543546694555E-3</v>
      </c>
      <c r="O50" s="437">
        <f t="shared" si="3"/>
        <v>6.5826946962412869E-3</v>
      </c>
      <c r="P50" s="438">
        <f t="shared" si="3"/>
        <v>6.5826946962412869E-3</v>
      </c>
      <c r="Q50" s="438">
        <f t="shared" si="3"/>
        <v>6.5826946962412869E-3</v>
      </c>
      <c r="R50" s="439">
        <f t="shared" si="3"/>
        <v>6.5826946962412869E-3</v>
      </c>
      <c r="S50" s="482"/>
      <c r="T50" s="481"/>
    </row>
    <row r="51" spans="2:20" ht="15" customHeight="1" x14ac:dyDescent="0.25">
      <c r="B51" s="389">
        <v>2017</v>
      </c>
      <c r="C51" s="474">
        <v>19610.759999999998</v>
      </c>
      <c r="D51" s="475">
        <f t="shared" si="4"/>
        <v>19610.759999999998</v>
      </c>
      <c r="E51" s="475">
        <f t="shared" si="4"/>
        <v>19610.759999999998</v>
      </c>
      <c r="F51" s="476">
        <f t="shared" si="4"/>
        <v>19610.759999999998</v>
      </c>
      <c r="G51" s="477">
        <v>19409.266318909304</v>
      </c>
      <c r="H51" s="475">
        <v>19409.266318909304</v>
      </c>
      <c r="I51" s="475">
        <v>19409.266318909304</v>
      </c>
      <c r="J51" s="476">
        <v>19409.266318909304</v>
      </c>
      <c r="K51" s="478">
        <f t="shared" si="3"/>
        <v>6.2434963579605096E-3</v>
      </c>
      <c r="L51" s="438">
        <f t="shared" si="3"/>
        <v>6.2434963579605096E-3</v>
      </c>
      <c r="M51" s="438">
        <f t="shared" si="3"/>
        <v>6.2434963579605096E-3</v>
      </c>
      <c r="N51" s="479">
        <f t="shared" si="3"/>
        <v>6.2434963579605096E-3</v>
      </c>
      <c r="O51" s="437">
        <f t="shared" si="3"/>
        <v>-4.0953026561897365E-3</v>
      </c>
      <c r="P51" s="438">
        <f t="shared" si="3"/>
        <v>-4.0953026561897365E-3</v>
      </c>
      <c r="Q51" s="438">
        <f t="shared" si="3"/>
        <v>-4.0953026561897365E-3</v>
      </c>
      <c r="R51" s="439">
        <f t="shared" si="3"/>
        <v>-4.0953026561897365E-3</v>
      </c>
      <c r="S51" s="482"/>
      <c r="T51" s="481"/>
    </row>
    <row r="52" spans="2:20" ht="15" customHeight="1" x14ac:dyDescent="0.25">
      <c r="B52" s="389">
        <v>2018</v>
      </c>
      <c r="C52" s="474">
        <v>19793.28</v>
      </c>
      <c r="D52" s="475">
        <f t="shared" si="4"/>
        <v>19793.28</v>
      </c>
      <c r="E52" s="475">
        <f t="shared" si="4"/>
        <v>19793.28</v>
      </c>
      <c r="F52" s="476">
        <f t="shared" si="4"/>
        <v>19793.28</v>
      </c>
      <c r="G52" s="477">
        <v>19234.560000000001</v>
      </c>
      <c r="H52" s="475">
        <v>19234.560000000001</v>
      </c>
      <c r="I52" s="475">
        <v>19234.560000000001</v>
      </c>
      <c r="J52" s="476">
        <v>19234.560000000001</v>
      </c>
      <c r="K52" s="478">
        <f t="shared" si="3"/>
        <v>9.3071354705274167E-3</v>
      </c>
      <c r="L52" s="438">
        <f t="shared" si="3"/>
        <v>9.3071354705274167E-3</v>
      </c>
      <c r="M52" s="438">
        <f t="shared" si="3"/>
        <v>9.3071354705274167E-3</v>
      </c>
      <c r="N52" s="479">
        <f t="shared" si="3"/>
        <v>9.3071354705274167E-3</v>
      </c>
      <c r="O52" s="437">
        <f t="shared" si="3"/>
        <v>-9.0011809843165702E-3</v>
      </c>
      <c r="P52" s="438">
        <f t="shared" si="3"/>
        <v>-9.0011809843165702E-3</v>
      </c>
      <c r="Q52" s="438">
        <f t="shared" si="3"/>
        <v>-9.0011809843165702E-3</v>
      </c>
      <c r="R52" s="439">
        <f t="shared" si="3"/>
        <v>-9.0011809843165702E-3</v>
      </c>
      <c r="S52" s="482"/>
      <c r="T52" s="481"/>
    </row>
    <row r="53" spans="2:20" ht="15" customHeight="1" x14ac:dyDescent="0.25">
      <c r="B53" s="389">
        <v>2019</v>
      </c>
      <c r="C53" s="474">
        <v>20036.640000000003</v>
      </c>
      <c r="D53" s="475">
        <f t="shared" si="4"/>
        <v>20036.640000000003</v>
      </c>
      <c r="E53" s="475">
        <f t="shared" si="4"/>
        <v>20036.640000000003</v>
      </c>
      <c r="F53" s="476">
        <f t="shared" si="4"/>
        <v>20036.640000000003</v>
      </c>
      <c r="G53" s="477">
        <v>19258.088795932075</v>
      </c>
      <c r="H53" s="475">
        <v>19258.088795932075</v>
      </c>
      <c r="I53" s="475">
        <v>19258.088795932075</v>
      </c>
      <c r="J53" s="476">
        <v>19258.088795932075</v>
      </c>
      <c r="K53" s="478">
        <f t="shared" si="3"/>
        <v>1.2295081967213406E-2</v>
      </c>
      <c r="L53" s="438">
        <f t="shared" si="3"/>
        <v>1.2295081967213406E-2</v>
      </c>
      <c r="M53" s="438">
        <f t="shared" si="3"/>
        <v>1.2295081967213406E-2</v>
      </c>
      <c r="N53" s="479">
        <f t="shared" si="3"/>
        <v>1.2295081967213406E-2</v>
      </c>
      <c r="O53" s="437">
        <f t="shared" si="3"/>
        <v>1.2232562601939279E-3</v>
      </c>
      <c r="P53" s="438">
        <f t="shared" si="3"/>
        <v>1.2232562601939279E-3</v>
      </c>
      <c r="Q53" s="438">
        <f t="shared" si="3"/>
        <v>1.2232562601939279E-3</v>
      </c>
      <c r="R53" s="439">
        <f t="shared" si="3"/>
        <v>1.2232562601939279E-3</v>
      </c>
      <c r="S53" s="482"/>
      <c r="T53" s="481"/>
    </row>
    <row r="54" spans="2:20" ht="15" customHeight="1" x14ac:dyDescent="0.25">
      <c r="B54" s="389">
        <v>2020</v>
      </c>
      <c r="C54" s="474">
        <v>20340.84</v>
      </c>
      <c r="D54" s="475">
        <f t="shared" ref="D54:F55" si="5">C54</f>
        <v>20340.84</v>
      </c>
      <c r="E54" s="475">
        <f t="shared" si="5"/>
        <v>20340.84</v>
      </c>
      <c r="F54" s="476">
        <f t="shared" si="5"/>
        <v>20340.84</v>
      </c>
      <c r="G54" s="477">
        <v>19457.131205958176</v>
      </c>
      <c r="H54" s="475">
        <v>19457.131205958176</v>
      </c>
      <c r="I54" s="475">
        <v>19457.131205958176</v>
      </c>
      <c r="J54" s="476">
        <v>19457.131205958176</v>
      </c>
      <c r="K54" s="478">
        <f t="shared" si="3"/>
        <v>1.5182186234817596E-2</v>
      </c>
      <c r="L54" s="438">
        <f t="shared" si="3"/>
        <v>1.5182186234817596E-2</v>
      </c>
      <c r="M54" s="438">
        <f t="shared" si="3"/>
        <v>1.5182186234817596E-2</v>
      </c>
      <c r="N54" s="479">
        <f t="shared" si="3"/>
        <v>1.5182186234817596E-2</v>
      </c>
      <c r="O54" s="437">
        <f t="shared" si="3"/>
        <v>1.0335522498377214E-2</v>
      </c>
      <c r="P54" s="438">
        <f t="shared" si="3"/>
        <v>1.0335522498377214E-2</v>
      </c>
      <c r="Q54" s="438">
        <f t="shared" si="3"/>
        <v>1.0335522498377214E-2</v>
      </c>
      <c r="R54" s="439">
        <f t="shared" ref="R54" si="6">J54/J53-1</f>
        <v>1.0335522498377214E-2</v>
      </c>
      <c r="S54" s="482"/>
      <c r="T54" s="481"/>
    </row>
    <row r="55" spans="2:20" ht="15" customHeight="1" x14ac:dyDescent="0.25">
      <c r="B55" s="389">
        <v>2021</v>
      </c>
      <c r="C55" s="474">
        <v>20824.2</v>
      </c>
      <c r="D55" s="475">
        <f t="shared" si="5"/>
        <v>20824.2</v>
      </c>
      <c r="E55" s="475">
        <f t="shared" si="5"/>
        <v>20824.2</v>
      </c>
      <c r="F55" s="476">
        <f t="shared" si="5"/>
        <v>20824.2</v>
      </c>
      <c r="G55" s="477">
        <f t="shared" ref="G55:J70" si="7">G54*(1+O55)</f>
        <v>19437.885774498278</v>
      </c>
      <c r="H55" s="475">
        <f t="shared" si="7"/>
        <v>19437.885774498278</v>
      </c>
      <c r="I55" s="475">
        <f t="shared" si="7"/>
        <v>19437.885774498278</v>
      </c>
      <c r="J55" s="476">
        <f t="shared" si="7"/>
        <v>19437.885774498278</v>
      </c>
      <c r="K55" s="478">
        <f t="shared" ref="K55:N89" si="8">C55/C54-1</f>
        <v>2.3763030435321353E-2</v>
      </c>
      <c r="L55" s="438">
        <f t="shared" si="8"/>
        <v>2.3763030435321353E-2</v>
      </c>
      <c r="M55" s="438">
        <f t="shared" si="8"/>
        <v>2.3763030435321353E-2</v>
      </c>
      <c r="N55" s="479">
        <f t="shared" si="8"/>
        <v>2.3763030435321353E-2</v>
      </c>
      <c r="O55" s="437">
        <f>Sal_valid!O78</f>
        <v>-9.8911968348158741E-4</v>
      </c>
      <c r="P55" s="438">
        <f>Sal_valid!P78</f>
        <v>-9.8911968348158741E-4</v>
      </c>
      <c r="Q55" s="438">
        <f>Sal_valid!Q78</f>
        <v>-9.8911968348158741E-4</v>
      </c>
      <c r="R55" s="439">
        <f>Sal_valid!R78</f>
        <v>-9.8911968348158741E-4</v>
      </c>
      <c r="S55" s="482"/>
      <c r="T55" s="481"/>
    </row>
    <row r="56" spans="2:20" ht="15" customHeight="1" x14ac:dyDescent="0.25">
      <c r="B56" s="406">
        <v>2022</v>
      </c>
      <c r="C56" s="483">
        <v>20811.3236292</v>
      </c>
      <c r="D56" s="484">
        <v>20811.3236292</v>
      </c>
      <c r="E56" s="484">
        <v>20811.3236292</v>
      </c>
      <c r="F56" s="485">
        <v>20811.3236292</v>
      </c>
      <c r="G56" s="483">
        <f t="shared" si="7"/>
        <v>19534.303858697178</v>
      </c>
      <c r="H56" s="484">
        <f t="shared" si="7"/>
        <v>19534.303858697178</v>
      </c>
      <c r="I56" s="484">
        <f t="shared" si="7"/>
        <v>19534.303858697178</v>
      </c>
      <c r="J56" s="485">
        <f t="shared" si="7"/>
        <v>19534.303858697178</v>
      </c>
      <c r="K56" s="486">
        <f t="shared" si="8"/>
        <v>-6.1833687728707343E-4</v>
      </c>
      <c r="L56" s="454">
        <f t="shared" si="8"/>
        <v>-6.1833687728707343E-4</v>
      </c>
      <c r="M56" s="454">
        <f t="shared" si="8"/>
        <v>-6.1833687728707343E-4</v>
      </c>
      <c r="N56" s="487">
        <f t="shared" si="8"/>
        <v>-6.1833687728707343E-4</v>
      </c>
      <c r="O56" s="453">
        <f>Sal_valid!O79</f>
        <v>4.9603174603174427E-3</v>
      </c>
      <c r="P56" s="454">
        <f>Sal_valid!P79</f>
        <v>4.9603174603174427E-3</v>
      </c>
      <c r="Q56" s="454">
        <f>Sal_valid!Q79</f>
        <v>4.9603174603174427E-3</v>
      </c>
      <c r="R56" s="455">
        <f>Sal_valid!R79</f>
        <v>4.9603174603174427E-3</v>
      </c>
      <c r="S56" s="482"/>
    </row>
    <row r="57" spans="2:20" ht="15" customHeight="1" x14ac:dyDescent="0.25">
      <c r="B57" s="406">
        <v>2023</v>
      </c>
      <c r="C57" s="483">
        <v>21081.870836379599</v>
      </c>
      <c r="D57" s="484">
        <v>21081.870836379599</v>
      </c>
      <c r="E57" s="484">
        <v>21081.870836379599</v>
      </c>
      <c r="F57" s="485">
        <v>21081.870836379599</v>
      </c>
      <c r="G57" s="483">
        <f t="shared" si="7"/>
        <v>19553.606530494308</v>
      </c>
      <c r="H57" s="484">
        <f t="shared" si="7"/>
        <v>19553.606530494308</v>
      </c>
      <c r="I57" s="484">
        <f t="shared" si="7"/>
        <v>19553.606530494308</v>
      </c>
      <c r="J57" s="485">
        <f t="shared" si="7"/>
        <v>19553.606530494308</v>
      </c>
      <c r="K57" s="486">
        <f t="shared" si="8"/>
        <v>1.2999999999999901E-2</v>
      </c>
      <c r="L57" s="454">
        <f t="shared" si="8"/>
        <v>1.2999999999999901E-2</v>
      </c>
      <c r="M57" s="454">
        <f t="shared" si="8"/>
        <v>1.2999999999999901E-2</v>
      </c>
      <c r="N57" s="487">
        <f>F57/F56-1</f>
        <v>1.2999999999999901E-2</v>
      </c>
      <c r="O57" s="453">
        <f>Sal_valid!O80</f>
        <v>9.8814229249000185E-4</v>
      </c>
      <c r="P57" s="454">
        <f>Sal_valid!P80</f>
        <v>9.8814229249000185E-4</v>
      </c>
      <c r="Q57" s="454">
        <f>Sal_valid!Q80</f>
        <v>9.8814229249000185E-4</v>
      </c>
      <c r="R57" s="455">
        <f>Sal_valid!R80</f>
        <v>9.8814229249000185E-4</v>
      </c>
      <c r="S57" s="482"/>
    </row>
    <row r="58" spans="2:20" ht="15" customHeight="1" x14ac:dyDescent="0.25">
      <c r="B58" s="406">
        <v>2024</v>
      </c>
      <c r="C58" s="483">
        <v>21398.098898925291</v>
      </c>
      <c r="D58" s="484">
        <v>21398.098898925291</v>
      </c>
      <c r="E58" s="484">
        <v>21398.098898925291</v>
      </c>
      <c r="F58" s="485">
        <v>21398.098898925291</v>
      </c>
      <c r="G58" s="483">
        <f t="shared" si="7"/>
        <v>19553.606530494308</v>
      </c>
      <c r="H58" s="484">
        <f t="shared" si="7"/>
        <v>19553.606530494308</v>
      </c>
      <c r="I58" s="484">
        <f t="shared" si="7"/>
        <v>19553.606530494308</v>
      </c>
      <c r="J58" s="485">
        <f t="shared" si="7"/>
        <v>19553.606530494308</v>
      </c>
      <c r="K58" s="486">
        <f t="shared" si="8"/>
        <v>1.4999999999999902E-2</v>
      </c>
      <c r="L58" s="454">
        <f t="shared" si="8"/>
        <v>1.4999999999999902E-2</v>
      </c>
      <c r="M58" s="454">
        <f t="shared" si="8"/>
        <v>1.4999999999999902E-2</v>
      </c>
      <c r="N58" s="487">
        <f t="shared" si="8"/>
        <v>1.4999999999999902E-2</v>
      </c>
      <c r="O58" s="453">
        <f>Sal_valid!O81</f>
        <v>0</v>
      </c>
      <c r="P58" s="454">
        <f>Sal_valid!P81</f>
        <v>0</v>
      </c>
      <c r="Q58" s="454">
        <f>Sal_valid!Q81</f>
        <v>0</v>
      </c>
      <c r="R58" s="455">
        <f>Sal_valid!R81</f>
        <v>0</v>
      </c>
      <c r="S58" s="482"/>
    </row>
    <row r="59" spans="2:20" ht="15" customHeight="1" x14ac:dyDescent="0.25">
      <c r="B59" s="406">
        <v>2025</v>
      </c>
      <c r="C59" s="483">
        <v>21804.662778004869</v>
      </c>
      <c r="D59" s="484">
        <v>21804.662778004869</v>
      </c>
      <c r="E59" s="484">
        <v>21804.662778004869</v>
      </c>
      <c r="F59" s="485">
        <v>21804.662778004869</v>
      </c>
      <c r="G59" s="483">
        <f t="shared" si="7"/>
        <v>19582.432486067515</v>
      </c>
      <c r="H59" s="484">
        <f t="shared" si="7"/>
        <v>19582.432486067515</v>
      </c>
      <c r="I59" s="484">
        <f t="shared" si="7"/>
        <v>19582.432486067515</v>
      </c>
      <c r="J59" s="485">
        <f t="shared" si="7"/>
        <v>19582.432486067515</v>
      </c>
      <c r="K59" s="486">
        <f t="shared" si="8"/>
        <v>1.8999999999999906E-2</v>
      </c>
      <c r="L59" s="454">
        <f t="shared" si="8"/>
        <v>1.8999999999999906E-2</v>
      </c>
      <c r="M59" s="454">
        <f t="shared" si="8"/>
        <v>1.8999999999999906E-2</v>
      </c>
      <c r="N59" s="487">
        <f t="shared" si="8"/>
        <v>1.8999999999999906E-2</v>
      </c>
      <c r="O59" s="453">
        <f>Sal_valid!O82</f>
        <v>1.4742014742012977E-3</v>
      </c>
      <c r="P59" s="454">
        <f>Sal_valid!P82</f>
        <v>1.4742014742012977E-3</v>
      </c>
      <c r="Q59" s="454">
        <f>Sal_valid!Q82</f>
        <v>1.4742014742012977E-3</v>
      </c>
      <c r="R59" s="455">
        <f>Sal_valid!R82</f>
        <v>1.4742014742012977E-3</v>
      </c>
      <c r="S59" s="482"/>
    </row>
    <row r="60" spans="2:20" ht="15" customHeight="1" x14ac:dyDescent="0.25">
      <c r="B60" s="406">
        <v>2026</v>
      </c>
      <c r="C60" s="483">
        <v>22255.615911248176</v>
      </c>
      <c r="D60" s="484">
        <v>22248.96003793519</v>
      </c>
      <c r="E60" s="484">
        <v>22244.522789059862</v>
      </c>
      <c r="F60" s="485">
        <v>22237.866915746876</v>
      </c>
      <c r="G60" s="483">
        <f t="shared" si="7"/>
        <v>19643.662470297906</v>
      </c>
      <c r="H60" s="484">
        <f t="shared" si="7"/>
        <v>19637.787740552085</v>
      </c>
      <c r="I60" s="484">
        <f t="shared" si="7"/>
        <v>19633.871254054869</v>
      </c>
      <c r="J60" s="485">
        <f t="shared" si="7"/>
        <v>19627.996524309048</v>
      </c>
      <c r="K60" s="486">
        <f t="shared" si="8"/>
        <v>2.0681500000000019E-2</v>
      </c>
      <c r="L60" s="454">
        <f t="shared" si="8"/>
        <v>2.0376249999999985E-2</v>
      </c>
      <c r="M60" s="454">
        <f t="shared" si="8"/>
        <v>2.017274999999974E-2</v>
      </c>
      <c r="N60" s="487">
        <f t="shared" si="8"/>
        <v>1.9867499999999705E-2</v>
      </c>
      <c r="O60" s="453">
        <f>Sal_valid!O83</f>
        <v>3.126781326781168E-3</v>
      </c>
      <c r="P60" s="454">
        <f>Sal_valid!P83</f>
        <v>2.8267813267811681E-3</v>
      </c>
      <c r="Q60" s="454">
        <f>Sal_valid!Q83</f>
        <v>2.626781326781168E-3</v>
      </c>
      <c r="R60" s="455">
        <f>Sal_valid!R83</f>
        <v>2.3267813267811681E-3</v>
      </c>
      <c r="S60" s="482"/>
    </row>
    <row r="61" spans="2:20" ht="15" customHeight="1" x14ac:dyDescent="0.25">
      <c r="B61" s="406">
        <v>2027</v>
      </c>
      <c r="C61" s="483">
        <v>22753.318249871416</v>
      </c>
      <c r="D61" s="484">
        <v>22732.930541160367</v>
      </c>
      <c r="E61" s="484">
        <v>22719.343250253736</v>
      </c>
      <c r="F61" s="485">
        <v>22698.969086244881</v>
      </c>
      <c r="G61" s="483">
        <f t="shared" si="7"/>
        <v>19737.546628128919</v>
      </c>
      <c r="H61" s="484">
        <f t="shared" si="7"/>
        <v>19719.861148283479</v>
      </c>
      <c r="I61" s="484">
        <f t="shared" si="7"/>
        <v>19708.074744873018</v>
      </c>
      <c r="J61" s="485">
        <f t="shared" si="7"/>
        <v>19690.40101448707</v>
      </c>
      <c r="K61" s="486">
        <f t="shared" si="8"/>
        <v>2.2362999999999911E-2</v>
      </c>
      <c r="L61" s="454">
        <f t="shared" si="8"/>
        <v>2.1752499999999619E-2</v>
      </c>
      <c r="M61" s="454">
        <f t="shared" si="8"/>
        <v>2.1345499999999795E-2</v>
      </c>
      <c r="N61" s="487">
        <f t="shared" si="8"/>
        <v>2.0734999999999726E-2</v>
      </c>
      <c r="O61" s="453">
        <f>Sal_valid!O84</f>
        <v>4.7793611793610384E-3</v>
      </c>
      <c r="P61" s="454">
        <f>Sal_valid!P84</f>
        <v>4.1793611793610385E-3</v>
      </c>
      <c r="Q61" s="454">
        <f>Sal_valid!Q84</f>
        <v>3.7793611793610384E-3</v>
      </c>
      <c r="R61" s="455">
        <f>Sal_valid!R84</f>
        <v>3.1793611793610381E-3</v>
      </c>
      <c r="S61" s="482"/>
    </row>
    <row r="62" spans="2:20" ht="15" customHeight="1" x14ac:dyDescent="0.25">
      <c r="B62" s="406">
        <v>2028</v>
      </c>
      <c r="C62" s="483">
        <v>23300.410410530447</v>
      </c>
      <c r="D62" s="484">
        <v>23258.714808414228</v>
      </c>
      <c r="E62" s="484">
        <v>23230.943101398763</v>
      </c>
      <c r="F62" s="485">
        <v>23189.323565930488</v>
      </c>
      <c r="G62" s="483">
        <f t="shared" si="7"/>
        <v>19864.497364156228</v>
      </c>
      <c r="H62" s="484">
        <f t="shared" si="7"/>
        <v>19828.950257313845</v>
      </c>
      <c r="I62" s="484">
        <f t="shared" si="7"/>
        <v>19805.273807367816</v>
      </c>
      <c r="J62" s="485">
        <f t="shared" si="7"/>
        <v>19769.791550272752</v>
      </c>
      <c r="K62" s="486">
        <f t="shared" si="8"/>
        <v>2.4044499999999802E-2</v>
      </c>
      <c r="L62" s="454">
        <f t="shared" si="8"/>
        <v>2.312874999999992E-2</v>
      </c>
      <c r="M62" s="454">
        <f t="shared" si="8"/>
        <v>2.2518250000000073E-2</v>
      </c>
      <c r="N62" s="487">
        <f t="shared" si="8"/>
        <v>2.1602500000000191E-2</v>
      </c>
      <c r="O62" s="453">
        <f>Sal_valid!O85</f>
        <v>6.4319410319409083E-3</v>
      </c>
      <c r="P62" s="454">
        <f>Sal_valid!P85</f>
        <v>5.5319410319409094E-3</v>
      </c>
      <c r="Q62" s="454">
        <f>Sal_valid!Q85</f>
        <v>4.9319410319409087E-3</v>
      </c>
      <c r="R62" s="455">
        <f>Sal_valid!R85</f>
        <v>4.0319410319409089E-3</v>
      </c>
      <c r="S62" s="482"/>
    </row>
    <row r="63" spans="2:20" ht="15" customHeight="1" x14ac:dyDescent="0.25">
      <c r="B63" s="406">
        <v>2029</v>
      </c>
      <c r="C63" s="483">
        <v>23899.836768751753</v>
      </c>
      <c r="D63" s="484">
        <v>23828.66961479442</v>
      </c>
      <c r="E63" s="484">
        <v>23781.307374413998</v>
      </c>
      <c r="F63" s="485">
        <v>23710.387666456947</v>
      </c>
      <c r="G63" s="483">
        <f t="shared" si="7"/>
        <v>20025.092307957257</v>
      </c>
      <c r="H63" s="484">
        <f t="shared" si="7"/>
        <v>19965.463079478446</v>
      </c>
      <c r="I63" s="484">
        <f t="shared" si="7"/>
        <v>19925.779409472398</v>
      </c>
      <c r="J63" s="485">
        <f t="shared" si="7"/>
        <v>19866.357509982681</v>
      </c>
      <c r="K63" s="486">
        <f t="shared" si="8"/>
        <v>2.5725999999999916E-2</v>
      </c>
      <c r="L63" s="454">
        <f t="shared" si="8"/>
        <v>2.4504999999999999E-2</v>
      </c>
      <c r="M63" s="454">
        <f t="shared" si="8"/>
        <v>2.3690999999999907E-2</v>
      </c>
      <c r="N63" s="487">
        <f t="shared" si="8"/>
        <v>2.246999999999999E-2</v>
      </c>
      <c r="O63" s="453">
        <f>Sal_valid!O86</f>
        <v>8.0845208845207791E-3</v>
      </c>
      <c r="P63" s="454">
        <f>Sal_valid!P86</f>
        <v>6.8845208845207794E-3</v>
      </c>
      <c r="Q63" s="454">
        <f>Sal_valid!Q86</f>
        <v>6.084520884520779E-3</v>
      </c>
      <c r="R63" s="455">
        <f>Sal_valid!R86</f>
        <v>4.8845208845207785E-3</v>
      </c>
      <c r="S63" s="482"/>
    </row>
    <row r="64" spans="2:20" ht="15" customHeight="1" x14ac:dyDescent="0.25">
      <c r="B64" s="406">
        <v>2030</v>
      </c>
      <c r="C64" s="483">
        <v>24554.871544991311</v>
      </c>
      <c r="D64" s="484">
        <v>24445.38537026232</v>
      </c>
      <c r="E64" s="484">
        <v>24372.599855644588</v>
      </c>
      <c r="F64" s="485">
        <v>24263.728838622879</v>
      </c>
      <c r="G64" s="483">
        <f t="shared" si="7"/>
        <v>20220.078649029572</v>
      </c>
      <c r="H64" s="484">
        <f t="shared" si="7"/>
        <v>20129.920610126974</v>
      </c>
      <c r="I64" s="484">
        <f t="shared" si="7"/>
        <v>20069.984282323996</v>
      </c>
      <c r="J64" s="485">
        <f t="shared" si="7"/>
        <v>19980.332804296704</v>
      </c>
      <c r="K64" s="486">
        <f t="shared" si="8"/>
        <v>2.7407499999999807E-2</v>
      </c>
      <c r="L64" s="454">
        <f t="shared" si="8"/>
        <v>2.5881250000000078E-2</v>
      </c>
      <c r="M64" s="454">
        <f t="shared" si="8"/>
        <v>2.4863750000000184E-2</v>
      </c>
      <c r="N64" s="487">
        <f t="shared" si="8"/>
        <v>2.3337499999999789E-2</v>
      </c>
      <c r="O64" s="453">
        <f>Sal_valid!O87</f>
        <v>9.7371007371006481E-3</v>
      </c>
      <c r="P64" s="454">
        <f>Sal_valid!P87</f>
        <v>8.2371007371006503E-3</v>
      </c>
      <c r="Q64" s="454">
        <f>Sal_valid!Q87</f>
        <v>7.2371007371006494E-3</v>
      </c>
      <c r="R64" s="455">
        <f>Sal_valid!R87</f>
        <v>5.7371007371006489E-3</v>
      </c>
      <c r="S64" s="482"/>
    </row>
    <row r="65" spans="2:19" ht="15" customHeight="1" x14ac:dyDescent="0.25">
      <c r="B65" s="406">
        <v>2031</v>
      </c>
      <c r="C65" s="483">
        <v>25269.148203363566</v>
      </c>
      <c r="D65" s="484">
        <v>25111.705461992242</v>
      </c>
      <c r="E65" s="484">
        <v>25007.177051786079</v>
      </c>
      <c r="F65" s="485">
        <v>24851.03239516175</v>
      </c>
      <c r="G65" s="483">
        <f t="shared" si="7"/>
        <v>20450.378886340237</v>
      </c>
      <c r="H65" s="484">
        <f t="shared" si="7"/>
        <v>20322.960119073716</v>
      </c>
      <c r="I65" s="484">
        <f t="shared" si="7"/>
        <v>20238.365039892604</v>
      </c>
      <c r="J65" s="485">
        <f t="shared" si="7"/>
        <v>20111.996815552535</v>
      </c>
      <c r="K65" s="486">
        <f t="shared" si="8"/>
        <v>2.9089000000000143E-2</v>
      </c>
      <c r="L65" s="454">
        <f t="shared" si="8"/>
        <v>2.7257499999999935E-2</v>
      </c>
      <c r="M65" s="454">
        <f t="shared" si="8"/>
        <v>2.6036500000000018E-2</v>
      </c>
      <c r="N65" s="487">
        <f t="shared" si="8"/>
        <v>2.4205000000000254E-2</v>
      </c>
      <c r="O65" s="453">
        <f>Sal_valid!O88</f>
        <v>1.1389680589680517E-2</v>
      </c>
      <c r="P65" s="454">
        <f>Sal_valid!P88</f>
        <v>9.5896805896805212E-3</v>
      </c>
      <c r="Q65" s="454">
        <f>Sal_valid!Q88</f>
        <v>8.3896805896805197E-3</v>
      </c>
      <c r="R65" s="455">
        <f>Sal_valid!R88</f>
        <v>6.5896805896805185E-3</v>
      </c>
      <c r="S65" s="482"/>
    </row>
    <row r="66" spans="2:19" ht="15" customHeight="1" x14ac:dyDescent="0.25">
      <c r="B66" s="406">
        <v>2032</v>
      </c>
      <c r="C66" s="483">
        <v>26046.692528155167</v>
      </c>
      <c r="D66" s="484">
        <v>25830.747758264566</v>
      </c>
      <c r="E66" s="484">
        <v>25687.603583982393</v>
      </c>
      <c r="F66" s="485">
        <v>25474.109904889439</v>
      </c>
      <c r="G66" s="483">
        <f t="shared" si="7"/>
        <v>20717.098053918791</v>
      </c>
      <c r="H66" s="484">
        <f t="shared" si="7"/>
        <v>20545.339241654292</v>
      </c>
      <c r="I66" s="484">
        <f t="shared" si="7"/>
        <v>20431.484790028797</v>
      </c>
      <c r="J66" s="485">
        <f t="shared" si="7"/>
        <v>20261.675533867787</v>
      </c>
      <c r="K66" s="486">
        <f t="shared" si="8"/>
        <v>3.0770500000000034E-2</v>
      </c>
      <c r="L66" s="454">
        <f t="shared" si="8"/>
        <v>2.8633750000000235E-2</v>
      </c>
      <c r="M66" s="454">
        <f t="shared" si="8"/>
        <v>2.7209250000000074E-2</v>
      </c>
      <c r="N66" s="487">
        <f t="shared" si="8"/>
        <v>2.5072499999999831E-2</v>
      </c>
      <c r="O66" s="453">
        <f>Sal_valid!O89</f>
        <v>1.3042260442260388E-2</v>
      </c>
      <c r="P66" s="454">
        <f>Sal_valid!P89</f>
        <v>1.094226044226039E-2</v>
      </c>
      <c r="Q66" s="454">
        <f>Sal_valid!Q89</f>
        <v>9.5422604422603901E-3</v>
      </c>
      <c r="R66" s="455">
        <f>Sal_valid!R89</f>
        <v>7.4422604422603889E-3</v>
      </c>
      <c r="S66" s="482"/>
    </row>
    <row r="67" spans="2:19" ht="15" customHeight="1" x14ac:dyDescent="0.25">
      <c r="B67" s="406">
        <v>2033</v>
      </c>
      <c r="C67" s="483">
        <v>26891.959794078863</v>
      </c>
      <c r="D67" s="484">
        <v>26605.928498490084</v>
      </c>
      <c r="E67" s="484">
        <v>26416.669148902984</v>
      </c>
      <c r="F67" s="485">
        <v>26134.908315822275</v>
      </c>
      <c r="G67" s="483">
        <f t="shared" si="7"/>
        <v>21021.532501193677</v>
      </c>
      <c r="H67" s="484">
        <f t="shared" si="7"/>
        <v>20797.940906433745</v>
      </c>
      <c r="I67" s="484">
        <f t="shared" si="7"/>
        <v>20649.996256844614</v>
      </c>
      <c r="J67" s="485">
        <f t="shared" si="7"/>
        <v>20429.742896527092</v>
      </c>
      <c r="K67" s="486">
        <f t="shared" si="8"/>
        <v>3.2452000000000147E-2</v>
      </c>
      <c r="L67" s="454">
        <f t="shared" si="8"/>
        <v>3.000999999999987E-2</v>
      </c>
      <c r="M67" s="454">
        <f t="shared" si="8"/>
        <v>2.8382000000000129E-2</v>
      </c>
      <c r="N67" s="487">
        <f t="shared" si="8"/>
        <v>2.5940000000000074E-2</v>
      </c>
      <c r="O67" s="453">
        <f>Sal_valid!O90</f>
        <v>1.4694840294840257E-2</v>
      </c>
      <c r="P67" s="454">
        <f>Sal_valid!P90</f>
        <v>1.2294840294840259E-2</v>
      </c>
      <c r="Q67" s="454">
        <f>Sal_valid!Q90</f>
        <v>1.069484029484026E-2</v>
      </c>
      <c r="R67" s="455">
        <f>Sal_valid!R90</f>
        <v>8.2948402948402594E-3</v>
      </c>
      <c r="S67" s="482"/>
    </row>
    <row r="68" spans="2:19" ht="15" customHeight="1" x14ac:dyDescent="0.25">
      <c r="B68" s="406">
        <v>2034</v>
      </c>
      <c r="C68" s="483">
        <v>27809.876503710053</v>
      </c>
      <c r="D68" s="484">
        <v>27440.988821825824</v>
      </c>
      <c r="E68" s="484">
        <v>27197.407201431528</v>
      </c>
      <c r="F68" s="485">
        <v>26835.519870498683</v>
      </c>
      <c r="G68" s="483">
        <f t="shared" si="7"/>
        <v>21365.180325133337</v>
      </c>
      <c r="H68" s="484">
        <f>H67*(1+P68)</f>
        <v>21081.779144185064</v>
      </c>
      <c r="I68" s="484">
        <f>I67*(1+Q68)</f>
        <v>20894.645438542106</v>
      </c>
      <c r="J68" s="485">
        <f>J67*(1+R68)</f>
        <v>20616.622338305398</v>
      </c>
      <c r="K68" s="486">
        <f t="shared" si="8"/>
        <v>3.4133500000000039E-2</v>
      </c>
      <c r="L68" s="454">
        <f t="shared" si="8"/>
        <v>3.1386250000000171E-2</v>
      </c>
      <c r="M68" s="454">
        <f t="shared" si="8"/>
        <v>2.9554750000000185E-2</v>
      </c>
      <c r="N68" s="487">
        <f t="shared" si="8"/>
        <v>2.6807500000000095E-2</v>
      </c>
      <c r="O68" s="453">
        <f>Sal_valid!O91</f>
        <v>1.6347420147420126E-2</v>
      </c>
      <c r="P68" s="454">
        <f>Sal_valid!P91</f>
        <v>1.3647420147420129E-2</v>
      </c>
      <c r="Q68" s="454">
        <f>Sal_valid!Q91</f>
        <v>1.1847420147420129E-2</v>
      </c>
      <c r="R68" s="455">
        <f>Sal_valid!R91</f>
        <v>9.147420147420128E-3</v>
      </c>
      <c r="S68" s="482"/>
    </row>
    <row r="69" spans="2:19" ht="15" customHeight="1" x14ac:dyDescent="0.25">
      <c r="B69" s="406">
        <v>2035</v>
      </c>
      <c r="C69" s="483">
        <v>28805.887230690434</v>
      </c>
      <c r="D69" s="484">
        <v>28340.024218100891</v>
      </c>
      <c r="E69" s="484">
        <v>28033.115531213512</v>
      </c>
      <c r="F69" s="485">
        <v>27578.192882914733</v>
      </c>
      <c r="G69" s="483">
        <f t="shared" si="7"/>
        <v>21749.753570985737</v>
      </c>
      <c r="H69" s="484">
        <f t="shared" si="7"/>
        <v>21398.005831347837</v>
      </c>
      <c r="I69" s="484">
        <f t="shared" si="7"/>
        <v>21166.27582924315</v>
      </c>
      <c r="J69" s="485">
        <f t="shared" si="7"/>
        <v>20822.788561688452</v>
      </c>
      <c r="K69" s="486">
        <f t="shared" si="8"/>
        <v>3.5815000000000152E-2</v>
      </c>
      <c r="L69" s="454">
        <f t="shared" si="8"/>
        <v>3.2762500000000028E-2</v>
      </c>
      <c r="M69" s="454">
        <f t="shared" si="8"/>
        <v>3.0727499999999797E-2</v>
      </c>
      <c r="N69" s="487">
        <f t="shared" si="8"/>
        <v>2.7674999999999894E-2</v>
      </c>
      <c r="O69" s="453">
        <f>Sal_valid!O92</f>
        <v>1.8000000000000002E-2</v>
      </c>
      <c r="P69" s="454">
        <f>Sal_valid!P92</f>
        <v>1.4999999999999999E-2</v>
      </c>
      <c r="Q69" s="454">
        <f>Sal_valid!Q92</f>
        <v>1.3000000000000001E-2</v>
      </c>
      <c r="R69" s="455">
        <f>Sal_valid!R92</f>
        <v>0.01</v>
      </c>
      <c r="S69" s="482"/>
    </row>
    <row r="70" spans="2:19" ht="15" customHeight="1" x14ac:dyDescent="0.25">
      <c r="B70" s="406">
        <v>2036</v>
      </c>
      <c r="C70" s="483">
        <v>29837.570081857612</v>
      </c>
      <c r="D70" s="484">
        <v>29268.514261546417</v>
      </c>
      <c r="E70" s="484">
        <v>28894.503088698875</v>
      </c>
      <c r="F70" s="485">
        <v>28341.419370949403</v>
      </c>
      <c r="G70" s="483">
        <f t="shared" si="7"/>
        <v>22141.249135263479</v>
      </c>
      <c r="H70" s="484">
        <f t="shared" si="7"/>
        <v>21718.975918818051</v>
      </c>
      <c r="I70" s="484">
        <f t="shared" si="7"/>
        <v>21441.437415023309</v>
      </c>
      <c r="J70" s="485">
        <f t="shared" si="7"/>
        <v>21031.016447305337</v>
      </c>
      <c r="K70" s="486">
        <f t="shared" si="8"/>
        <v>3.581499999999993E-2</v>
      </c>
      <c r="L70" s="454">
        <f t="shared" si="8"/>
        <v>3.2762499999999806E-2</v>
      </c>
      <c r="M70" s="454">
        <f t="shared" si="8"/>
        <v>3.0727500000000019E-2</v>
      </c>
      <c r="N70" s="487">
        <f t="shared" si="8"/>
        <v>2.7675000000000116E-2</v>
      </c>
      <c r="O70" s="453">
        <f>Sal_valid!O93</f>
        <v>1.8000000000000002E-2</v>
      </c>
      <c r="P70" s="454">
        <f>Sal_valid!P93</f>
        <v>1.4999999999999999E-2</v>
      </c>
      <c r="Q70" s="454">
        <f>Sal_valid!Q93</f>
        <v>1.3000000000000001E-2</v>
      </c>
      <c r="R70" s="455">
        <f>Sal_valid!R93</f>
        <v>0.01</v>
      </c>
      <c r="S70" s="482"/>
    </row>
    <row r="71" spans="2:19" ht="15" customHeight="1" x14ac:dyDescent="0.25">
      <c r="B71" s="406">
        <v>2037</v>
      </c>
      <c r="C71" s="483">
        <v>30906.202654339344</v>
      </c>
      <c r="D71" s="484">
        <v>30227.423960040331</v>
      </c>
      <c r="E71" s="484">
        <v>29782.35893235687</v>
      </c>
      <c r="F71" s="485">
        <v>29125.768152040426</v>
      </c>
      <c r="G71" s="483">
        <f t="shared" ref="G71:J86" si="9">G70*(1+O71)</f>
        <v>22539.791619698222</v>
      </c>
      <c r="H71" s="484">
        <f t="shared" si="9"/>
        <v>22044.760557600319</v>
      </c>
      <c r="I71" s="484">
        <f t="shared" si="9"/>
        <v>21720.176101418609</v>
      </c>
      <c r="J71" s="485">
        <f t="shared" si="9"/>
        <v>21241.32661177839</v>
      </c>
      <c r="K71" s="486">
        <f t="shared" si="8"/>
        <v>3.5815000000000152E-2</v>
      </c>
      <c r="L71" s="454">
        <f t="shared" si="8"/>
        <v>3.2762500000000028E-2</v>
      </c>
      <c r="M71" s="454">
        <f t="shared" si="8"/>
        <v>3.0727500000000019E-2</v>
      </c>
      <c r="N71" s="487">
        <f t="shared" si="8"/>
        <v>2.7674999999999894E-2</v>
      </c>
      <c r="O71" s="453">
        <f>Sal_valid!O94</f>
        <v>1.8000000000000002E-2</v>
      </c>
      <c r="P71" s="454">
        <f>Sal_valid!P94</f>
        <v>1.4999999999999999E-2</v>
      </c>
      <c r="Q71" s="454">
        <f>Sal_valid!Q94</f>
        <v>1.3000000000000001E-2</v>
      </c>
      <c r="R71" s="455">
        <f>Sal_valid!R94</f>
        <v>0.01</v>
      </c>
      <c r="S71" s="482"/>
    </row>
    <row r="72" spans="2:19" ht="15" customHeight="1" x14ac:dyDescent="0.25">
      <c r="B72" s="406">
        <v>2038</v>
      </c>
      <c r="C72" s="483">
        <v>32013.108302404511</v>
      </c>
      <c r="D72" s="484">
        <v>31217.749937531153</v>
      </c>
      <c r="E72" s="484">
        <v>30697.496366450865</v>
      </c>
      <c r="F72" s="485">
        <v>29931.82378564815</v>
      </c>
      <c r="G72" s="483">
        <f t="shared" si="9"/>
        <v>22945.50786885279</v>
      </c>
      <c r="H72" s="484">
        <f t="shared" si="9"/>
        <v>22375.431965964322</v>
      </c>
      <c r="I72" s="484">
        <f t="shared" si="9"/>
        <v>22002.538390737049</v>
      </c>
      <c r="J72" s="485">
        <f t="shared" si="9"/>
        <v>21453.739877896172</v>
      </c>
      <c r="K72" s="486">
        <f t="shared" si="8"/>
        <v>3.5815000000000152E-2</v>
      </c>
      <c r="L72" s="454">
        <f t="shared" si="8"/>
        <v>3.2762500000000028E-2</v>
      </c>
      <c r="M72" s="454">
        <f t="shared" si="8"/>
        <v>3.0727500000000019E-2</v>
      </c>
      <c r="N72" s="487">
        <f t="shared" si="8"/>
        <v>2.7675000000000116E-2</v>
      </c>
      <c r="O72" s="453">
        <f>Sal_valid!O95</f>
        <v>1.8000000000000002E-2</v>
      </c>
      <c r="P72" s="454">
        <f>Sal_valid!P95</f>
        <v>1.4999999999999999E-2</v>
      </c>
      <c r="Q72" s="454">
        <f>Sal_valid!Q95</f>
        <v>1.3000000000000001E-2</v>
      </c>
      <c r="R72" s="455">
        <f>Sal_valid!R95</f>
        <v>0.01</v>
      </c>
      <c r="S72" s="482"/>
    </row>
    <row r="73" spans="2:19" ht="15" customHeight="1" x14ac:dyDescent="0.25">
      <c r="B73" s="406">
        <v>2039</v>
      </c>
      <c r="C73" s="483">
        <v>33159.657776255124</v>
      </c>
      <c r="D73" s="484">
        <v>32240.521469859515</v>
      </c>
      <c r="E73" s="484">
        <v>31640.753686050983</v>
      </c>
      <c r="F73" s="485">
        <v>30760.18700891596</v>
      </c>
      <c r="G73" s="483">
        <f t="shared" si="9"/>
        <v>23358.52701049214</v>
      </c>
      <c r="H73" s="484">
        <f t="shared" si="9"/>
        <v>22711.063445453787</v>
      </c>
      <c r="I73" s="484">
        <f t="shared" si="9"/>
        <v>22288.571389816629</v>
      </c>
      <c r="J73" s="485">
        <f t="shared" si="9"/>
        <v>21668.277276675133</v>
      </c>
      <c r="K73" s="486">
        <f t="shared" si="8"/>
        <v>3.581499999999993E-2</v>
      </c>
      <c r="L73" s="454">
        <f t="shared" si="8"/>
        <v>3.2762500000000028E-2</v>
      </c>
      <c r="M73" s="454">
        <f t="shared" si="8"/>
        <v>3.0727500000000019E-2</v>
      </c>
      <c r="N73" s="487">
        <f t="shared" si="8"/>
        <v>2.7674999999999894E-2</v>
      </c>
      <c r="O73" s="453">
        <f>Sal_valid!O96</f>
        <v>1.8000000000000002E-2</v>
      </c>
      <c r="P73" s="454">
        <f>Sal_valid!P96</f>
        <v>1.4999999999999999E-2</v>
      </c>
      <c r="Q73" s="454">
        <f>Sal_valid!Q96</f>
        <v>1.3000000000000001E-2</v>
      </c>
      <c r="R73" s="455">
        <f>Sal_valid!R96</f>
        <v>0.01</v>
      </c>
      <c r="S73" s="482"/>
    </row>
    <row r="74" spans="2:19" ht="15" customHeight="1" x14ac:dyDescent="0.25">
      <c r="B74" s="406">
        <v>2040</v>
      </c>
      <c r="C74" s="483">
        <v>34347.270919511706</v>
      </c>
      <c r="D74" s="484">
        <v>33296.801554515783</v>
      </c>
      <c r="E74" s="484">
        <v>32612.994944939113</v>
      </c>
      <c r="F74" s="485">
        <v>31611.475184387713</v>
      </c>
      <c r="G74" s="483">
        <f t="shared" si="9"/>
        <v>23778.980496681001</v>
      </c>
      <c r="H74" s="484">
        <f t="shared" si="9"/>
        <v>23051.72939713559</v>
      </c>
      <c r="I74" s="484">
        <f t="shared" si="9"/>
        <v>22578.322817884244</v>
      </c>
      <c r="J74" s="485">
        <f t="shared" si="9"/>
        <v>21884.960049441885</v>
      </c>
      <c r="K74" s="486">
        <f t="shared" si="8"/>
        <v>3.5815000000000152E-2</v>
      </c>
      <c r="L74" s="454">
        <f t="shared" si="8"/>
        <v>3.2762499999999806E-2</v>
      </c>
      <c r="M74" s="454">
        <f t="shared" si="8"/>
        <v>3.0727500000000019E-2</v>
      </c>
      <c r="N74" s="487">
        <f t="shared" si="8"/>
        <v>2.7675000000000116E-2</v>
      </c>
      <c r="O74" s="453">
        <f>Sal_valid!O97</f>
        <v>1.8000000000000002E-2</v>
      </c>
      <c r="P74" s="454">
        <f>Sal_valid!P97</f>
        <v>1.4999999999999999E-2</v>
      </c>
      <c r="Q74" s="454">
        <f>Sal_valid!Q97</f>
        <v>1.3000000000000001E-2</v>
      </c>
      <c r="R74" s="455">
        <f>Sal_valid!R97</f>
        <v>0.01</v>
      </c>
      <c r="S74" s="482"/>
    </row>
    <row r="75" spans="2:19" ht="15" customHeight="1" x14ac:dyDescent="0.25">
      <c r="B75" s="406">
        <v>2041</v>
      </c>
      <c r="C75" s="483">
        <v>35577.418427494027</v>
      </c>
      <c r="D75" s="484">
        <v>34387.688015445608</v>
      </c>
      <c r="E75" s="484">
        <v>33615.110747109728</v>
      </c>
      <c r="F75" s="485">
        <v>32486.322760115643</v>
      </c>
      <c r="G75" s="483">
        <f t="shared" si="9"/>
        <v>24207.00214562126</v>
      </c>
      <c r="H75" s="484">
        <f t="shared" si="9"/>
        <v>23397.505338092622</v>
      </c>
      <c r="I75" s="484">
        <f t="shared" si="9"/>
        <v>22871.841014516736</v>
      </c>
      <c r="J75" s="485">
        <f t="shared" si="9"/>
        <v>22103.809649936302</v>
      </c>
      <c r="K75" s="486">
        <f t="shared" si="8"/>
        <v>3.5815000000000374E-2</v>
      </c>
      <c r="L75" s="454">
        <f t="shared" si="8"/>
        <v>3.2762500000000028E-2</v>
      </c>
      <c r="M75" s="454">
        <f t="shared" si="8"/>
        <v>3.0727500000000019E-2</v>
      </c>
      <c r="N75" s="487">
        <f t="shared" si="8"/>
        <v>2.7675000000000116E-2</v>
      </c>
      <c r="O75" s="453">
        <f>Sal_valid!O98</f>
        <v>1.8000000000000002E-2</v>
      </c>
      <c r="P75" s="454">
        <f>Sal_valid!P98</f>
        <v>1.4999999999999999E-2</v>
      </c>
      <c r="Q75" s="454">
        <f>Sal_valid!Q98</f>
        <v>1.3000000000000001E-2</v>
      </c>
      <c r="R75" s="455">
        <f>Sal_valid!R98</f>
        <v>0.01</v>
      </c>
      <c r="S75" s="482"/>
    </row>
    <row r="76" spans="2:19" ht="15" customHeight="1" x14ac:dyDescent="0.25">
      <c r="B76" s="406">
        <v>2042</v>
      </c>
      <c r="C76" s="483">
        <v>36851.623668474727</v>
      </c>
      <c r="D76" s="484">
        <v>35514.314644051643</v>
      </c>
      <c r="E76" s="484">
        <v>34648.019062591542</v>
      </c>
      <c r="F76" s="485">
        <v>33385.38174250185</v>
      </c>
      <c r="G76" s="483">
        <f t="shared" si="9"/>
        <v>24642.728184242442</v>
      </c>
      <c r="H76" s="484">
        <f t="shared" si="9"/>
        <v>23748.467918164009</v>
      </c>
      <c r="I76" s="484">
        <f t="shared" si="9"/>
        <v>23169.174947705451</v>
      </c>
      <c r="J76" s="485">
        <f t="shared" si="9"/>
        <v>22324.847746435666</v>
      </c>
      <c r="K76" s="486">
        <f t="shared" si="8"/>
        <v>3.5815000000000152E-2</v>
      </c>
      <c r="L76" s="454">
        <f t="shared" si="8"/>
        <v>3.2762500000000028E-2</v>
      </c>
      <c r="M76" s="454">
        <f t="shared" si="8"/>
        <v>3.0727500000000019E-2</v>
      </c>
      <c r="N76" s="487">
        <f t="shared" si="8"/>
        <v>2.7675000000000116E-2</v>
      </c>
      <c r="O76" s="453">
        <f>Sal_valid!O99</f>
        <v>1.8000000000000002E-2</v>
      </c>
      <c r="P76" s="454">
        <f>Sal_valid!P99</f>
        <v>1.4999999999999999E-2</v>
      </c>
      <c r="Q76" s="454">
        <f>Sal_valid!Q99</f>
        <v>1.3000000000000001E-2</v>
      </c>
      <c r="R76" s="455">
        <f>Sal_valid!R99</f>
        <v>0.01</v>
      </c>
      <c r="S76" s="482"/>
    </row>
    <row r="77" spans="2:19" ht="15" customHeight="1" x14ac:dyDescent="0.25">
      <c r="B77" s="406">
        <v>2043</v>
      </c>
      <c r="C77" s="483">
        <v>38171.464570161152</v>
      </c>
      <c r="D77" s="484">
        <v>36677.852377577379</v>
      </c>
      <c r="E77" s="484">
        <v>35712.666068337319</v>
      </c>
      <c r="F77" s="485">
        <v>34309.322182225587</v>
      </c>
      <c r="G77" s="483">
        <f t="shared" si="9"/>
        <v>25086.297291558807</v>
      </c>
      <c r="H77" s="484">
        <f t="shared" si="9"/>
        <v>24104.694936936467</v>
      </c>
      <c r="I77" s="484">
        <f t="shared" si="9"/>
        <v>23470.374222025621</v>
      </c>
      <c r="J77" s="485">
        <f t="shared" si="9"/>
        <v>22548.096223900022</v>
      </c>
      <c r="K77" s="486">
        <f t="shared" si="8"/>
        <v>3.5815000000000152E-2</v>
      </c>
      <c r="L77" s="454">
        <f t="shared" si="8"/>
        <v>3.2762499999999806E-2</v>
      </c>
      <c r="M77" s="454">
        <f t="shared" si="8"/>
        <v>3.0727499999999797E-2</v>
      </c>
      <c r="N77" s="487">
        <f t="shared" si="8"/>
        <v>2.7674999999999894E-2</v>
      </c>
      <c r="O77" s="453">
        <f>Sal_valid!O100</f>
        <v>1.8000000000000002E-2</v>
      </c>
      <c r="P77" s="454">
        <f>Sal_valid!P100</f>
        <v>1.4999999999999999E-2</v>
      </c>
      <c r="Q77" s="454">
        <f>Sal_valid!Q100</f>
        <v>1.3000000000000001E-2</v>
      </c>
      <c r="R77" s="455">
        <f>Sal_valid!R100</f>
        <v>0.01</v>
      </c>
      <c r="S77" s="482"/>
    </row>
    <row r="78" spans="2:19" ht="15" customHeight="1" x14ac:dyDescent="0.25">
      <c r="B78" s="406">
        <v>2044</v>
      </c>
      <c r="C78" s="483">
        <v>39538.575573741473</v>
      </c>
      <c r="D78" s="484">
        <v>37879.510516097762</v>
      </c>
      <c r="E78" s="484">
        <v>36810.027014952153</v>
      </c>
      <c r="F78" s="485">
        <v>35258.832673618679</v>
      </c>
      <c r="G78" s="483">
        <f t="shared" si="9"/>
        <v>25537.850642806865</v>
      </c>
      <c r="H78" s="484">
        <f t="shared" si="9"/>
        <v>24466.26536099051</v>
      </c>
      <c r="I78" s="484">
        <f t="shared" si="9"/>
        <v>23775.489086911952</v>
      </c>
      <c r="J78" s="485">
        <f t="shared" si="9"/>
        <v>22773.577186139024</v>
      </c>
      <c r="K78" s="486">
        <f t="shared" si="8"/>
        <v>3.581499999999993E-2</v>
      </c>
      <c r="L78" s="454">
        <f t="shared" si="8"/>
        <v>3.2762500000000028E-2</v>
      </c>
      <c r="M78" s="454">
        <f t="shared" si="8"/>
        <v>3.0727500000000019E-2</v>
      </c>
      <c r="N78" s="487">
        <f t="shared" si="8"/>
        <v>2.7674999999999894E-2</v>
      </c>
      <c r="O78" s="453">
        <f>Sal_valid!O101</f>
        <v>1.8000000000000002E-2</v>
      </c>
      <c r="P78" s="454">
        <f>Sal_valid!P101</f>
        <v>1.4999999999999999E-2</v>
      </c>
      <c r="Q78" s="454">
        <f>Sal_valid!Q101</f>
        <v>1.3000000000000001E-2</v>
      </c>
      <c r="R78" s="455">
        <f>Sal_valid!R101</f>
        <v>0.01</v>
      </c>
      <c r="S78" s="482"/>
    </row>
    <row r="79" spans="2:19" ht="15" customHeight="1" x14ac:dyDescent="0.25">
      <c r="B79" s="406">
        <v>2045</v>
      </c>
      <c r="C79" s="483">
        <v>40954.649657915026</v>
      </c>
      <c r="D79" s="484">
        <v>39120.537979381414</v>
      </c>
      <c r="E79" s="484">
        <v>37941.10712005409</v>
      </c>
      <c r="F79" s="485">
        <v>36234.620867861086</v>
      </c>
      <c r="G79" s="483">
        <f t="shared" si="9"/>
        <v>25997.531954377388</v>
      </c>
      <c r="H79" s="484">
        <f t="shared" si="9"/>
        <v>24833.259341405366</v>
      </c>
      <c r="I79" s="484">
        <f t="shared" si="9"/>
        <v>24084.570445041805</v>
      </c>
      <c r="J79" s="485">
        <f t="shared" si="9"/>
        <v>23001.312958000413</v>
      </c>
      <c r="K79" s="486">
        <f t="shared" si="8"/>
        <v>3.5815000000000152E-2</v>
      </c>
      <c r="L79" s="454">
        <f t="shared" si="8"/>
        <v>3.2762500000000028E-2</v>
      </c>
      <c r="M79" s="454">
        <f t="shared" si="8"/>
        <v>3.0727499999999797E-2</v>
      </c>
      <c r="N79" s="487">
        <f t="shared" si="8"/>
        <v>2.7675000000000338E-2</v>
      </c>
      <c r="O79" s="453">
        <f>Sal_valid!O102</f>
        <v>1.8000000000000002E-2</v>
      </c>
      <c r="P79" s="454">
        <f>Sal_valid!P102</f>
        <v>1.4999999999999999E-2</v>
      </c>
      <c r="Q79" s="454">
        <f>Sal_valid!Q102</f>
        <v>1.3000000000000001E-2</v>
      </c>
      <c r="R79" s="455">
        <f>Sal_valid!R102</f>
        <v>0.01</v>
      </c>
      <c r="S79" s="482"/>
    </row>
    <row r="80" spans="2:19" ht="15" customHeight="1" x14ac:dyDescent="0.25">
      <c r="B80" s="406">
        <v>2046</v>
      </c>
      <c r="C80" s="483">
        <v>42421.440435413249</v>
      </c>
      <c r="D80" s="484">
        <v>40402.224604930896</v>
      </c>
      <c r="E80" s="484">
        <v>39106.942489085559</v>
      </c>
      <c r="F80" s="485">
        <v>37237.41400037914</v>
      </c>
      <c r="G80" s="483">
        <f t="shared" si="9"/>
        <v>26465.48752955618</v>
      </c>
      <c r="H80" s="484">
        <f t="shared" si="9"/>
        <v>25205.758231526444</v>
      </c>
      <c r="I80" s="484">
        <f t="shared" si="9"/>
        <v>24397.669860827347</v>
      </c>
      <c r="J80" s="485">
        <f t="shared" si="9"/>
        <v>23231.326087580419</v>
      </c>
      <c r="K80" s="486">
        <f t="shared" si="8"/>
        <v>3.581499999999993E-2</v>
      </c>
      <c r="L80" s="454">
        <f t="shared" si="8"/>
        <v>3.2762500000000028E-2</v>
      </c>
      <c r="M80" s="454">
        <f t="shared" si="8"/>
        <v>3.0727500000000241E-2</v>
      </c>
      <c r="N80" s="487">
        <f t="shared" si="8"/>
        <v>2.7674999999999894E-2</v>
      </c>
      <c r="O80" s="453">
        <f>Sal_valid!O103</f>
        <v>1.8000000000000002E-2</v>
      </c>
      <c r="P80" s="454">
        <f>Sal_valid!P103</f>
        <v>1.4999999999999999E-2</v>
      </c>
      <c r="Q80" s="454">
        <f>Sal_valid!Q103</f>
        <v>1.3000000000000001E-2</v>
      </c>
      <c r="R80" s="455">
        <f>Sal_valid!R103</f>
        <v>0.01</v>
      </c>
      <c r="S80" s="482"/>
    </row>
    <row r="81" spans="2:19" ht="15" customHeight="1" x14ac:dyDescent="0.25">
      <c r="B81" s="406">
        <v>2047</v>
      </c>
      <c r="C81" s="483">
        <v>43940.764324607582</v>
      </c>
      <c r="D81" s="484">
        <v>41725.902488549946</v>
      </c>
      <c r="E81" s="484">
        <v>40308.60106441893</v>
      </c>
      <c r="F81" s="485">
        <v>38267.959432839642</v>
      </c>
      <c r="G81" s="483">
        <f t="shared" si="9"/>
        <v>26941.866305088191</v>
      </c>
      <c r="H81" s="484">
        <f t="shared" si="9"/>
        <v>25583.84460499934</v>
      </c>
      <c r="I81" s="484">
        <f t="shared" si="9"/>
        <v>24714.839569018099</v>
      </c>
      <c r="J81" s="485">
        <f t="shared" si="9"/>
        <v>23463.639348456225</v>
      </c>
      <c r="K81" s="486">
        <f t="shared" si="8"/>
        <v>3.5815000000000152E-2</v>
      </c>
      <c r="L81" s="454">
        <f t="shared" si="8"/>
        <v>3.2762500000000028E-2</v>
      </c>
      <c r="M81" s="454">
        <f t="shared" si="8"/>
        <v>3.0727499999999797E-2</v>
      </c>
      <c r="N81" s="487">
        <f t="shared" si="8"/>
        <v>2.7675000000000338E-2</v>
      </c>
      <c r="O81" s="453">
        <f>Sal_valid!O104</f>
        <v>1.8000000000000002E-2</v>
      </c>
      <c r="P81" s="454">
        <f>Sal_valid!P104</f>
        <v>1.4999999999999999E-2</v>
      </c>
      <c r="Q81" s="454">
        <f>Sal_valid!Q104</f>
        <v>1.3000000000000001E-2</v>
      </c>
      <c r="R81" s="455">
        <f>Sal_valid!R104</f>
        <v>0.01</v>
      </c>
      <c r="S81" s="482"/>
    </row>
    <row r="82" spans="2:19" ht="15" customHeight="1" x14ac:dyDescent="0.25">
      <c r="B82" s="406">
        <v>2048</v>
      </c>
      <c r="C82" s="483">
        <v>45514.502798893409</v>
      </c>
      <c r="D82" s="484">
        <v>43092.947368831061</v>
      </c>
      <c r="E82" s="484">
        <v>41547.183603625861</v>
      </c>
      <c r="F82" s="485">
        <v>39327.025210143482</v>
      </c>
      <c r="G82" s="483">
        <f t="shared" si="9"/>
        <v>27426.819898579779</v>
      </c>
      <c r="H82" s="484">
        <f t="shared" si="9"/>
        <v>25967.602274074328</v>
      </c>
      <c r="I82" s="484">
        <f t="shared" si="9"/>
        <v>25036.132483415331</v>
      </c>
      <c r="J82" s="485">
        <f t="shared" si="9"/>
        <v>23698.275741940786</v>
      </c>
      <c r="K82" s="486">
        <f t="shared" si="8"/>
        <v>3.5815000000000152E-2</v>
      </c>
      <c r="L82" s="454">
        <f t="shared" si="8"/>
        <v>3.2762500000000028E-2</v>
      </c>
      <c r="M82" s="454">
        <f t="shared" si="8"/>
        <v>3.0727500000000019E-2</v>
      </c>
      <c r="N82" s="487">
        <f t="shared" si="8"/>
        <v>2.7675000000000116E-2</v>
      </c>
      <c r="O82" s="453">
        <f>Sal_valid!O105</f>
        <v>1.8000000000000002E-2</v>
      </c>
      <c r="P82" s="454">
        <f>Sal_valid!P105</f>
        <v>1.4999999999999999E-2</v>
      </c>
      <c r="Q82" s="454">
        <f>Sal_valid!Q105</f>
        <v>1.3000000000000001E-2</v>
      </c>
      <c r="R82" s="455">
        <f>Sal_valid!R105</f>
        <v>0.01</v>
      </c>
      <c r="S82" s="482"/>
    </row>
    <row r="83" spans="2:19" ht="15" customHeight="1" x14ac:dyDescent="0.25">
      <c r="B83" s="406">
        <v>2049</v>
      </c>
      <c r="C83" s="483">
        <v>47144.604716635782</v>
      </c>
      <c r="D83" s="484">
        <v>44504.780057002383</v>
      </c>
      <c r="E83" s="484">
        <v>42823.824687806278</v>
      </c>
      <c r="F83" s="485">
        <v>40415.400632834207</v>
      </c>
      <c r="G83" s="483">
        <f t="shared" si="9"/>
        <v>27920.502656754215</v>
      </c>
      <c r="H83" s="484">
        <f t="shared" si="9"/>
        <v>26357.116308185439</v>
      </c>
      <c r="I83" s="484">
        <f t="shared" si="9"/>
        <v>25361.602205699728</v>
      </c>
      <c r="J83" s="485">
        <f t="shared" si="9"/>
        <v>23935.258499360196</v>
      </c>
      <c r="K83" s="486">
        <f t="shared" si="8"/>
        <v>3.5815000000000152E-2</v>
      </c>
      <c r="L83" s="454">
        <f t="shared" si="8"/>
        <v>3.2762499999999806E-2</v>
      </c>
      <c r="M83" s="454">
        <f t="shared" si="8"/>
        <v>3.0727500000000019E-2</v>
      </c>
      <c r="N83" s="487">
        <f t="shared" si="8"/>
        <v>2.7675000000000116E-2</v>
      </c>
      <c r="O83" s="453">
        <f>Sal_valid!O106</f>
        <v>1.8000000000000002E-2</v>
      </c>
      <c r="P83" s="454">
        <f>Sal_valid!P106</f>
        <v>1.4999999999999999E-2</v>
      </c>
      <c r="Q83" s="454">
        <f>Sal_valid!Q106</f>
        <v>1.3000000000000001E-2</v>
      </c>
      <c r="R83" s="455">
        <f>Sal_valid!R106</f>
        <v>0.01</v>
      </c>
      <c r="S83" s="482"/>
    </row>
    <row r="84" spans="2:19" ht="15" customHeight="1" x14ac:dyDescent="0.25">
      <c r="B84" s="406">
        <v>2050</v>
      </c>
      <c r="C84" s="483">
        <v>48833.088734562094</v>
      </c>
      <c r="D84" s="484">
        <v>45962.867913619921</v>
      </c>
      <c r="E84" s="484">
        <v>44139.693760900838</v>
      </c>
      <c r="F84" s="485">
        <v>41533.896845347888</v>
      </c>
      <c r="G84" s="483">
        <f t="shared" si="9"/>
        <v>28423.071704575792</v>
      </c>
      <c r="H84" s="484">
        <f t="shared" si="9"/>
        <v>26752.473052808218</v>
      </c>
      <c r="I84" s="484">
        <f t="shared" si="9"/>
        <v>25691.303034373821</v>
      </c>
      <c r="J84" s="485">
        <f t="shared" si="9"/>
        <v>24174.611084353797</v>
      </c>
      <c r="K84" s="486">
        <f t="shared" si="8"/>
        <v>3.581499999999993E-2</v>
      </c>
      <c r="L84" s="454">
        <f t="shared" si="8"/>
        <v>3.2762500000000028E-2</v>
      </c>
      <c r="M84" s="454">
        <f t="shared" si="8"/>
        <v>3.0727499999999797E-2</v>
      </c>
      <c r="N84" s="487">
        <f t="shared" si="8"/>
        <v>2.7674999999999894E-2</v>
      </c>
      <c r="O84" s="453">
        <f>Sal_valid!O107</f>
        <v>1.8000000000000002E-2</v>
      </c>
      <c r="P84" s="454">
        <f>Sal_valid!P107</f>
        <v>1.4999999999999999E-2</v>
      </c>
      <c r="Q84" s="454">
        <f>Sal_valid!Q107</f>
        <v>1.3000000000000001E-2</v>
      </c>
      <c r="R84" s="455">
        <f>Sal_valid!R107</f>
        <v>0.01</v>
      </c>
      <c r="S84" s="482"/>
    </row>
    <row r="85" spans="2:19" ht="15" customHeight="1" x14ac:dyDescent="0.25">
      <c r="B85" s="406">
        <v>2051</v>
      </c>
      <c r="C85" s="483">
        <v>50582.045807590446</v>
      </c>
      <c r="D85" s="484">
        <v>47468.726373639904</v>
      </c>
      <c r="E85" s="484">
        <v>45495.99620093892</v>
      </c>
      <c r="F85" s="485">
        <v>42683.347440542901</v>
      </c>
      <c r="G85" s="483">
        <f t="shared" si="9"/>
        <v>28934.686995258158</v>
      </c>
      <c r="H85" s="484">
        <f t="shared" si="9"/>
        <v>27153.76014860034</v>
      </c>
      <c r="I85" s="484">
        <f t="shared" si="9"/>
        <v>26025.28997382068</v>
      </c>
      <c r="J85" s="485">
        <f t="shared" si="9"/>
        <v>24416.357195197335</v>
      </c>
      <c r="K85" s="486">
        <f t="shared" si="8"/>
        <v>3.5815000000000152E-2</v>
      </c>
      <c r="L85" s="454">
        <f t="shared" si="8"/>
        <v>3.276250000000025E-2</v>
      </c>
      <c r="M85" s="454">
        <f t="shared" si="8"/>
        <v>3.0727500000000019E-2</v>
      </c>
      <c r="N85" s="487">
        <f t="shared" si="8"/>
        <v>2.7675000000000338E-2</v>
      </c>
      <c r="O85" s="453">
        <f>Sal_valid!O108</f>
        <v>1.8000000000000002E-2</v>
      </c>
      <c r="P85" s="454">
        <f>Sal_valid!P108</f>
        <v>1.4999999999999999E-2</v>
      </c>
      <c r="Q85" s="454">
        <f>Sal_valid!Q108</f>
        <v>1.3000000000000001E-2</v>
      </c>
      <c r="R85" s="455">
        <f>Sal_valid!R108</f>
        <v>0.01</v>
      </c>
      <c r="S85" s="482"/>
    </row>
    <row r="86" spans="2:19" ht="15" customHeight="1" x14ac:dyDescent="0.25">
      <c r="B86" s="406">
        <v>2052</v>
      </c>
      <c r="C86" s="483">
        <v>52393.641778189303</v>
      </c>
      <c r="D86" s="484">
        <v>49023.920521456275</v>
      </c>
      <c r="E86" s="484">
        <v>46893.974424203268</v>
      </c>
      <c r="F86" s="485">
        <v>43864.609080959926</v>
      </c>
      <c r="G86" s="483">
        <f t="shared" si="9"/>
        <v>29455.511361172805</v>
      </c>
      <c r="H86" s="484">
        <f t="shared" si="9"/>
        <v>27561.066550829342</v>
      </c>
      <c r="I86" s="484">
        <f t="shared" si="9"/>
        <v>26363.618743480347</v>
      </c>
      <c r="J86" s="485">
        <f t="shared" si="9"/>
        <v>24660.520767149308</v>
      </c>
      <c r="K86" s="486">
        <f t="shared" si="8"/>
        <v>3.5815000000000152E-2</v>
      </c>
      <c r="L86" s="454">
        <f t="shared" si="8"/>
        <v>3.2762499999999806E-2</v>
      </c>
      <c r="M86" s="454">
        <f t="shared" si="8"/>
        <v>3.0727500000000019E-2</v>
      </c>
      <c r="N86" s="487">
        <f t="shared" si="8"/>
        <v>2.7675000000000116E-2</v>
      </c>
      <c r="O86" s="453">
        <f>Sal_valid!O109</f>
        <v>1.8000000000000002E-2</v>
      </c>
      <c r="P86" s="454">
        <f>Sal_valid!P109</f>
        <v>1.4999999999999999E-2</v>
      </c>
      <c r="Q86" s="454">
        <f>Sal_valid!Q109</f>
        <v>1.3000000000000001E-2</v>
      </c>
      <c r="R86" s="455">
        <f>Sal_valid!R109</f>
        <v>0.01</v>
      </c>
      <c r="S86" s="482"/>
    </row>
    <row r="87" spans="2:19" ht="15" customHeight="1" x14ac:dyDescent="0.25">
      <c r="B87" s="406">
        <v>2053</v>
      </c>
      <c r="C87" s="483">
        <v>54270.120058475157</v>
      </c>
      <c r="D87" s="484">
        <v>50630.066717540481</v>
      </c>
      <c r="E87" s="484">
        <v>48334.90902332298</v>
      </c>
      <c r="F87" s="485">
        <v>45078.562137275498</v>
      </c>
      <c r="G87" s="483">
        <f t="shared" ref="G87:J102" si="10">G86*(1+O87)</f>
        <v>29985.710565673915</v>
      </c>
      <c r="H87" s="484">
        <f t="shared" si="10"/>
        <v>27974.482549091779</v>
      </c>
      <c r="I87" s="484">
        <f t="shared" si="10"/>
        <v>26706.34578714559</v>
      </c>
      <c r="J87" s="485">
        <f t="shared" si="10"/>
        <v>24907.125974820803</v>
      </c>
      <c r="K87" s="486">
        <f t="shared" si="8"/>
        <v>3.5815000000000152E-2</v>
      </c>
      <c r="L87" s="454">
        <f t="shared" si="8"/>
        <v>3.2762499999999806E-2</v>
      </c>
      <c r="M87" s="454">
        <f t="shared" si="8"/>
        <v>3.0727500000000019E-2</v>
      </c>
      <c r="N87" s="487">
        <f t="shared" si="8"/>
        <v>2.7675000000000116E-2</v>
      </c>
      <c r="O87" s="453">
        <f>Sal_valid!O110</f>
        <v>1.8000000000000002E-2</v>
      </c>
      <c r="P87" s="454">
        <f>Sal_valid!P110</f>
        <v>1.4999999999999999E-2</v>
      </c>
      <c r="Q87" s="454">
        <f>Sal_valid!Q110</f>
        <v>1.3000000000000001E-2</v>
      </c>
      <c r="R87" s="455">
        <f>Sal_valid!R110</f>
        <v>0.01</v>
      </c>
      <c r="S87" s="482"/>
    </row>
    <row r="88" spans="2:19" ht="15" customHeight="1" x14ac:dyDescent="0.25">
      <c r="B88" s="406">
        <v>2054</v>
      </c>
      <c r="C88" s="483">
        <v>56213.804408369455</v>
      </c>
      <c r="D88" s="484">
        <v>52288.834278373906</v>
      </c>
      <c r="E88" s="484">
        <v>49820.119940337143</v>
      </c>
      <c r="F88" s="485">
        <v>46326.111344424608</v>
      </c>
      <c r="G88" s="483">
        <f t="shared" si="10"/>
        <v>30525.453355856047</v>
      </c>
      <c r="H88" s="484">
        <f t="shared" si="10"/>
        <v>28394.099787328152</v>
      </c>
      <c r="I88" s="484">
        <f t="shared" si="10"/>
        <v>27053.52828237848</v>
      </c>
      <c r="J88" s="485">
        <f t="shared" si="10"/>
        <v>25156.197234569012</v>
      </c>
      <c r="K88" s="486">
        <f t="shared" si="8"/>
        <v>3.5815000000000152E-2</v>
      </c>
      <c r="L88" s="454">
        <f t="shared" si="8"/>
        <v>3.2762500000000028E-2</v>
      </c>
      <c r="M88" s="454">
        <f t="shared" si="8"/>
        <v>3.0727500000000019E-2</v>
      </c>
      <c r="N88" s="487">
        <f t="shared" si="8"/>
        <v>2.7675000000000338E-2</v>
      </c>
      <c r="O88" s="453">
        <f>Sal_valid!O111</f>
        <v>1.8000000000000002E-2</v>
      </c>
      <c r="P88" s="454">
        <f>Sal_valid!P111</f>
        <v>1.4999999999999999E-2</v>
      </c>
      <c r="Q88" s="454">
        <f>Sal_valid!Q111</f>
        <v>1.3000000000000001E-2</v>
      </c>
      <c r="R88" s="455">
        <f>Sal_valid!R111</f>
        <v>0.01</v>
      </c>
      <c r="S88" s="482"/>
    </row>
    <row r="89" spans="2:19" ht="15" customHeight="1" x14ac:dyDescent="0.25">
      <c r="B89" s="406">
        <v>2055</v>
      </c>
      <c r="C89" s="483">
        <v>58227.101813255213</v>
      </c>
      <c r="D89" s="484">
        <v>54001.94721141913</v>
      </c>
      <c r="E89" s="484">
        <v>51350.967675803848</v>
      </c>
      <c r="F89" s="485">
        <v>47608.186475881565</v>
      </c>
      <c r="G89" s="483">
        <f t="shared" si="10"/>
        <v>31074.911516261458</v>
      </c>
      <c r="H89" s="484">
        <f t="shared" si="10"/>
        <v>28820.011284138072</v>
      </c>
      <c r="I89" s="484">
        <f t="shared" si="10"/>
        <v>27405.224150049398</v>
      </c>
      <c r="J89" s="485">
        <f t="shared" si="10"/>
        <v>25407.759206914703</v>
      </c>
      <c r="K89" s="486">
        <f t="shared" si="8"/>
        <v>3.5815000000000152E-2</v>
      </c>
      <c r="L89" s="454">
        <f t="shared" si="8"/>
        <v>3.2762500000000028E-2</v>
      </c>
      <c r="M89" s="454">
        <f t="shared" si="8"/>
        <v>3.0727499999999797E-2</v>
      </c>
      <c r="N89" s="487">
        <f t="shared" si="8"/>
        <v>2.7675000000000116E-2</v>
      </c>
      <c r="O89" s="453">
        <f>Sal_valid!O112</f>
        <v>1.8000000000000002E-2</v>
      </c>
      <c r="P89" s="454">
        <f>Sal_valid!P112</f>
        <v>1.4999999999999999E-2</v>
      </c>
      <c r="Q89" s="454">
        <f>Sal_valid!Q112</f>
        <v>1.3000000000000001E-2</v>
      </c>
      <c r="R89" s="455">
        <f>Sal_valid!R112</f>
        <v>0.01</v>
      </c>
      <c r="S89" s="482"/>
    </row>
    <row r="90" spans="2:19" ht="15" customHeight="1" x14ac:dyDescent="0.25">
      <c r="B90" s="406">
        <v>2056</v>
      </c>
      <c r="C90" s="483">
        <v>60312.505464696951</v>
      </c>
      <c r="D90" s="484">
        <v>55771.186006933247</v>
      </c>
      <c r="E90" s="484">
        <v>52928.854535062113</v>
      </c>
      <c r="F90" s="485">
        <v>48925.743036601591</v>
      </c>
      <c r="G90" s="483">
        <f t="shared" si="10"/>
        <v>31634.259923554164</v>
      </c>
      <c r="H90" s="484">
        <f t="shared" si="10"/>
        <v>29252.31145340014</v>
      </c>
      <c r="I90" s="484">
        <f t="shared" si="10"/>
        <v>27761.492064000038</v>
      </c>
      <c r="J90" s="485">
        <f t="shared" si="10"/>
        <v>25661.836798983852</v>
      </c>
      <c r="K90" s="486">
        <f t="shared" ref="K90:N104" si="11">C90/C89-1</f>
        <v>3.5815000000000152E-2</v>
      </c>
      <c r="L90" s="454">
        <f t="shared" si="11"/>
        <v>3.2762500000000028E-2</v>
      </c>
      <c r="M90" s="454">
        <f t="shared" si="11"/>
        <v>3.0727500000000019E-2</v>
      </c>
      <c r="N90" s="487">
        <f t="shared" si="11"/>
        <v>2.7675000000000116E-2</v>
      </c>
      <c r="O90" s="453">
        <f>Sal_valid!O113</f>
        <v>1.8000000000000002E-2</v>
      </c>
      <c r="P90" s="454">
        <f>Sal_valid!P113</f>
        <v>1.4999999999999999E-2</v>
      </c>
      <c r="Q90" s="454">
        <f>Sal_valid!Q113</f>
        <v>1.3000000000000001E-2</v>
      </c>
      <c r="R90" s="455">
        <f>Sal_valid!R113</f>
        <v>0.01</v>
      </c>
      <c r="S90" s="482"/>
    </row>
    <row r="91" spans="2:19" ht="15" customHeight="1" x14ac:dyDescent="0.25">
      <c r="B91" s="406">
        <v>2057</v>
      </c>
      <c r="C91" s="483">
        <v>62472.597847915087</v>
      </c>
      <c r="D91" s="484">
        <v>57598.389488485402</v>
      </c>
      <c r="E91" s="484">
        <v>54555.225912788235</v>
      </c>
      <c r="F91" s="485">
        <v>50279.762975139543</v>
      </c>
      <c r="G91" s="483">
        <f t="shared" si="10"/>
        <v>32203.67660217814</v>
      </c>
      <c r="H91" s="484">
        <f t="shared" si="10"/>
        <v>29691.09612520114</v>
      </c>
      <c r="I91" s="484">
        <f t="shared" si="10"/>
        <v>28122.391460832037</v>
      </c>
      <c r="J91" s="485">
        <f t="shared" si="10"/>
        <v>25918.45516697369</v>
      </c>
      <c r="K91" s="486">
        <f t="shared" si="11"/>
        <v>3.5815000000000152E-2</v>
      </c>
      <c r="L91" s="454">
        <f t="shared" si="11"/>
        <v>3.2762500000000028E-2</v>
      </c>
      <c r="M91" s="454">
        <f t="shared" si="11"/>
        <v>3.0727500000000019E-2</v>
      </c>
      <c r="N91" s="487">
        <f t="shared" si="11"/>
        <v>2.7675000000000116E-2</v>
      </c>
      <c r="O91" s="453">
        <f>Sal_valid!O114</f>
        <v>1.8000000000000002E-2</v>
      </c>
      <c r="P91" s="454">
        <f>Sal_valid!P114</f>
        <v>1.4999999999999999E-2</v>
      </c>
      <c r="Q91" s="454">
        <f>Sal_valid!Q114</f>
        <v>1.3000000000000001E-2</v>
      </c>
      <c r="R91" s="455">
        <f>Sal_valid!R114</f>
        <v>0.01</v>
      </c>
      <c r="S91" s="482"/>
    </row>
    <row r="92" spans="2:19" ht="15" customHeight="1" x14ac:dyDescent="0.25">
      <c r="B92" s="406">
        <v>2058</v>
      </c>
      <c r="C92" s="483">
        <v>64710.053939838159</v>
      </c>
      <c r="D92" s="484">
        <v>59485.456724101896</v>
      </c>
      <c r="E92" s="484">
        <v>56231.571617023437</v>
      </c>
      <c r="F92" s="485">
        <v>51671.255415476524</v>
      </c>
      <c r="G92" s="483">
        <f t="shared" si="10"/>
        <v>32783.342781017345</v>
      </c>
      <c r="H92" s="484">
        <f t="shared" si="10"/>
        <v>30136.462567079154</v>
      </c>
      <c r="I92" s="484">
        <f t="shared" si="10"/>
        <v>28487.982549822853</v>
      </c>
      <c r="J92" s="485">
        <f t="shared" si="10"/>
        <v>26177.639718643426</v>
      </c>
      <c r="K92" s="486">
        <f t="shared" si="11"/>
        <v>3.581499999999993E-2</v>
      </c>
      <c r="L92" s="454">
        <f t="shared" si="11"/>
        <v>3.2762499999999806E-2</v>
      </c>
      <c r="M92" s="454">
        <f t="shared" si="11"/>
        <v>3.0727500000000019E-2</v>
      </c>
      <c r="N92" s="487">
        <f t="shared" si="11"/>
        <v>2.7674999999999894E-2</v>
      </c>
      <c r="O92" s="453">
        <f>Sal_valid!O115</f>
        <v>1.8000000000000002E-2</v>
      </c>
      <c r="P92" s="454">
        <f>Sal_valid!P115</f>
        <v>1.4999999999999999E-2</v>
      </c>
      <c r="Q92" s="454">
        <f>Sal_valid!Q115</f>
        <v>1.3000000000000001E-2</v>
      </c>
      <c r="R92" s="455">
        <f>Sal_valid!R115</f>
        <v>0.01</v>
      </c>
      <c r="S92" s="482"/>
    </row>
    <row r="93" spans="2:19" ht="15" customHeight="1" x14ac:dyDescent="0.25">
      <c r="B93" s="406">
        <v>2059</v>
      </c>
      <c r="C93" s="483">
        <v>67027.644521693466</v>
      </c>
      <c r="D93" s="484">
        <v>61434.349000025279</v>
      </c>
      <c r="E93" s="484">
        <v>57959.427233885515</v>
      </c>
      <c r="F93" s="485">
        <v>53101.257409099839</v>
      </c>
      <c r="G93" s="483">
        <f t="shared" si="10"/>
        <v>33373.44295107566</v>
      </c>
      <c r="H93" s="484">
        <f t="shared" si="10"/>
        <v>30588.509505585338</v>
      </c>
      <c r="I93" s="484">
        <f t="shared" si="10"/>
        <v>28858.326322970548</v>
      </c>
      <c r="J93" s="485">
        <f t="shared" si="10"/>
        <v>26439.416115829859</v>
      </c>
      <c r="K93" s="486">
        <f t="shared" si="11"/>
        <v>3.5815000000000152E-2</v>
      </c>
      <c r="L93" s="454">
        <f t="shared" si="11"/>
        <v>3.2762499999999806E-2</v>
      </c>
      <c r="M93" s="454">
        <f t="shared" si="11"/>
        <v>3.0727499999999797E-2</v>
      </c>
      <c r="N93" s="487">
        <f t="shared" si="11"/>
        <v>2.7675000000000116E-2</v>
      </c>
      <c r="O93" s="453">
        <f>Sal_valid!O116</f>
        <v>1.8000000000000002E-2</v>
      </c>
      <c r="P93" s="454">
        <f>Sal_valid!P116</f>
        <v>1.4999999999999999E-2</v>
      </c>
      <c r="Q93" s="454">
        <f>Sal_valid!Q116</f>
        <v>1.3000000000000001E-2</v>
      </c>
      <c r="R93" s="455">
        <f>Sal_valid!R116</f>
        <v>0.01</v>
      </c>
      <c r="S93" s="482"/>
    </row>
    <row r="94" spans="2:19" ht="15" customHeight="1" x14ac:dyDescent="0.25">
      <c r="B94" s="406">
        <v>2060</v>
      </c>
      <c r="C94" s="483">
        <v>69428.239610237928</v>
      </c>
      <c r="D94" s="484">
        <v>63447.0918591386</v>
      </c>
      <c r="E94" s="484">
        <v>59740.375534214734</v>
      </c>
      <c r="F94" s="485">
        <v>54570.834707896691</v>
      </c>
      <c r="G94" s="483">
        <f t="shared" si="10"/>
        <v>33974.164924195022</v>
      </c>
      <c r="H94" s="484">
        <f t="shared" si="10"/>
        <v>31047.337148169114</v>
      </c>
      <c r="I94" s="484">
        <f t="shared" si="10"/>
        <v>29233.484565169161</v>
      </c>
      <c r="J94" s="485">
        <f t="shared" si="10"/>
        <v>26703.810276988159</v>
      </c>
      <c r="K94" s="486">
        <f t="shared" si="11"/>
        <v>3.5815000000000152E-2</v>
      </c>
      <c r="L94" s="454">
        <f t="shared" si="11"/>
        <v>3.2762499999999806E-2</v>
      </c>
      <c r="M94" s="454">
        <f t="shared" si="11"/>
        <v>3.0727500000000019E-2</v>
      </c>
      <c r="N94" s="487">
        <f t="shared" si="11"/>
        <v>2.7675000000000338E-2</v>
      </c>
      <c r="O94" s="453">
        <f>Sal_valid!O117</f>
        <v>1.8000000000000002E-2</v>
      </c>
      <c r="P94" s="454">
        <f>Sal_valid!P117</f>
        <v>1.4999999999999999E-2</v>
      </c>
      <c r="Q94" s="454">
        <f>Sal_valid!Q117</f>
        <v>1.3000000000000001E-2</v>
      </c>
      <c r="R94" s="455">
        <f>Sal_valid!R117</f>
        <v>0.01</v>
      </c>
      <c r="S94" s="482"/>
    </row>
    <row r="95" spans="2:19" ht="15" customHeight="1" x14ac:dyDescent="0.25">
      <c r="B95" s="406">
        <v>2061</v>
      </c>
      <c r="C95" s="483">
        <v>71914.812011878588</v>
      </c>
      <c r="D95" s="484">
        <v>65525.777206173625</v>
      </c>
      <c r="E95" s="484">
        <v>61576.047923442311</v>
      </c>
      <c r="F95" s="485">
        <v>56081.082558437723</v>
      </c>
      <c r="G95" s="483">
        <f t="shared" si="10"/>
        <v>34585.699892830533</v>
      </c>
      <c r="H95" s="484">
        <f t="shared" si="10"/>
        <v>31513.047205391649</v>
      </c>
      <c r="I95" s="484">
        <f t="shared" si="10"/>
        <v>29613.519864516358</v>
      </c>
      <c r="J95" s="485">
        <f t="shared" si="10"/>
        <v>26970.848379758041</v>
      </c>
      <c r="K95" s="486">
        <f t="shared" si="11"/>
        <v>3.581499999999993E-2</v>
      </c>
      <c r="L95" s="454">
        <f t="shared" si="11"/>
        <v>3.2762500000000028E-2</v>
      </c>
      <c r="M95" s="454">
        <f t="shared" si="11"/>
        <v>3.0727499999999797E-2</v>
      </c>
      <c r="N95" s="487">
        <f t="shared" si="11"/>
        <v>2.7674999999999894E-2</v>
      </c>
      <c r="O95" s="453">
        <f>Sal_valid!O118</f>
        <v>1.8000000000000002E-2</v>
      </c>
      <c r="P95" s="454">
        <f>Sal_valid!P118</f>
        <v>1.4999999999999999E-2</v>
      </c>
      <c r="Q95" s="454">
        <f>Sal_valid!Q118</f>
        <v>1.3000000000000001E-2</v>
      </c>
      <c r="R95" s="455">
        <f>Sal_valid!R118</f>
        <v>0.01</v>
      </c>
    </row>
    <row r="96" spans="2:19" ht="15" customHeight="1" x14ac:dyDescent="0.25">
      <c r="B96" s="406">
        <v>2062</v>
      </c>
      <c r="C96" s="483">
        <v>74490.44100408403</v>
      </c>
      <c r="D96" s="484">
        <v>67672.565481890881</v>
      </c>
      <c r="E96" s="484">
        <v>63468.125936009877</v>
      </c>
      <c r="F96" s="485">
        <v>57633.126518242498</v>
      </c>
      <c r="G96" s="483">
        <f t="shared" si="10"/>
        <v>35208.242490901481</v>
      </c>
      <c r="H96" s="484">
        <f t="shared" si="10"/>
        <v>31985.742913472521</v>
      </c>
      <c r="I96" s="484">
        <f t="shared" si="10"/>
        <v>29998.495622755068</v>
      </c>
      <c r="J96" s="485">
        <f t="shared" si="10"/>
        <v>27240.556863555623</v>
      </c>
      <c r="K96" s="486">
        <f t="shared" si="11"/>
        <v>3.5815000000000152E-2</v>
      </c>
      <c r="L96" s="454">
        <f t="shared" si="11"/>
        <v>3.2762499999999806E-2</v>
      </c>
      <c r="M96" s="454">
        <f t="shared" si="11"/>
        <v>3.0727499999999797E-2</v>
      </c>
      <c r="N96" s="487">
        <f t="shared" si="11"/>
        <v>2.7675000000000116E-2</v>
      </c>
      <c r="O96" s="453">
        <f>Sal_valid!O119</f>
        <v>1.8000000000000002E-2</v>
      </c>
      <c r="P96" s="454">
        <f>Sal_valid!P119</f>
        <v>1.4999999999999999E-2</v>
      </c>
      <c r="Q96" s="454">
        <f>Sal_valid!Q119</f>
        <v>1.3000000000000001E-2</v>
      </c>
      <c r="R96" s="455">
        <f>Sal_valid!R119</f>
        <v>0.01</v>
      </c>
    </row>
    <row r="97" spans="2:18" ht="15" customHeight="1" x14ac:dyDescent="0.25">
      <c r="B97" s="406">
        <v>2063</v>
      </c>
      <c r="C97" s="483">
        <v>77158.316148645303</v>
      </c>
      <c r="D97" s="484">
        <v>69889.687908491338</v>
      </c>
      <c r="E97" s="484">
        <v>65418.342775708625</v>
      </c>
      <c r="F97" s="485">
        <v>59228.123294634861</v>
      </c>
      <c r="G97" s="483">
        <f t="shared" si="10"/>
        <v>35841.990855737706</v>
      </c>
      <c r="H97" s="484">
        <f t="shared" si="10"/>
        <v>32465.529057174605</v>
      </c>
      <c r="I97" s="484">
        <f t="shared" si="10"/>
        <v>30388.476065850882</v>
      </c>
      <c r="J97" s="485">
        <f t="shared" si="10"/>
        <v>27512.96243219118</v>
      </c>
      <c r="K97" s="486">
        <f t="shared" si="11"/>
        <v>3.581499999999993E-2</v>
      </c>
      <c r="L97" s="454">
        <f t="shared" si="11"/>
        <v>3.2762500000000028E-2</v>
      </c>
      <c r="M97" s="454">
        <f t="shared" si="11"/>
        <v>3.0727500000000019E-2</v>
      </c>
      <c r="N97" s="487">
        <f t="shared" si="11"/>
        <v>2.7675000000000116E-2</v>
      </c>
      <c r="O97" s="453">
        <f>Sal_valid!O120</f>
        <v>1.8000000000000002E-2</v>
      </c>
      <c r="P97" s="454">
        <f>Sal_valid!P120</f>
        <v>1.4999999999999999E-2</v>
      </c>
      <c r="Q97" s="454">
        <f>Sal_valid!Q120</f>
        <v>1.3000000000000001E-2</v>
      </c>
      <c r="R97" s="455">
        <f>Sal_valid!R120</f>
        <v>0.01</v>
      </c>
    </row>
    <row r="98" spans="2:18" ht="15" customHeight="1" x14ac:dyDescent="0.25">
      <c r="B98" s="406">
        <v>2064</v>
      </c>
      <c r="C98" s="483">
        <v>79921.741241509051</v>
      </c>
      <c r="D98" s="484">
        <v>72179.448808593283</v>
      </c>
      <c r="E98" s="484">
        <v>67428.484903349206</v>
      </c>
      <c r="F98" s="485">
        <v>60867.261606813889</v>
      </c>
      <c r="G98" s="483">
        <f t="shared" si="10"/>
        <v>36487.146691140988</v>
      </c>
      <c r="H98" s="484">
        <f t="shared" si="10"/>
        <v>32952.511993032218</v>
      </c>
      <c r="I98" s="484">
        <f t="shared" si="10"/>
        <v>30783.52625470694</v>
      </c>
      <c r="J98" s="485">
        <f t="shared" si="10"/>
        <v>27788.092056513091</v>
      </c>
      <c r="K98" s="486">
        <f t="shared" si="11"/>
        <v>3.5815000000000152E-2</v>
      </c>
      <c r="L98" s="454">
        <f t="shared" si="11"/>
        <v>3.2762500000000028E-2</v>
      </c>
      <c r="M98" s="454">
        <f t="shared" si="11"/>
        <v>3.0727500000000019E-2</v>
      </c>
      <c r="N98" s="487">
        <f t="shared" si="11"/>
        <v>2.7675000000000116E-2</v>
      </c>
      <c r="O98" s="453">
        <f>Sal_valid!O121</f>
        <v>1.8000000000000002E-2</v>
      </c>
      <c r="P98" s="454">
        <f>Sal_valid!P121</f>
        <v>1.4999999999999999E-2</v>
      </c>
      <c r="Q98" s="454">
        <f>Sal_valid!Q121</f>
        <v>1.3000000000000001E-2</v>
      </c>
      <c r="R98" s="455">
        <f>Sal_valid!R121</f>
        <v>0.01</v>
      </c>
    </row>
    <row r="99" spans="2:18" ht="15" customHeight="1" x14ac:dyDescent="0.25">
      <c r="B99" s="406">
        <v>2065</v>
      </c>
      <c r="C99" s="483">
        <v>82784.138404073688</v>
      </c>
      <c r="D99" s="484">
        <v>74544.228000184812</v>
      </c>
      <c r="E99" s="484">
        <v>69500.393673216866</v>
      </c>
      <c r="F99" s="485">
        <v>62551.763071782465</v>
      </c>
      <c r="G99" s="483">
        <f t="shared" si="10"/>
        <v>37143.915331581527</v>
      </c>
      <c r="H99" s="484">
        <f t="shared" si="10"/>
        <v>33446.7996729277</v>
      </c>
      <c r="I99" s="484">
        <f t="shared" si="10"/>
        <v>31183.712096018127</v>
      </c>
      <c r="J99" s="485">
        <f t="shared" si="10"/>
        <v>28065.972977078221</v>
      </c>
      <c r="K99" s="486">
        <f t="shared" si="11"/>
        <v>3.581499999999993E-2</v>
      </c>
      <c r="L99" s="454">
        <f t="shared" si="11"/>
        <v>3.2762499999999806E-2</v>
      </c>
      <c r="M99" s="454">
        <f t="shared" si="11"/>
        <v>3.0727500000000019E-2</v>
      </c>
      <c r="N99" s="487">
        <f t="shared" si="11"/>
        <v>2.7675000000000116E-2</v>
      </c>
      <c r="O99" s="453">
        <f>Sal_valid!O122</f>
        <v>1.8000000000000002E-2</v>
      </c>
      <c r="P99" s="454">
        <f>Sal_valid!P122</f>
        <v>1.4999999999999999E-2</v>
      </c>
      <c r="Q99" s="454">
        <f>Sal_valid!Q122</f>
        <v>1.3000000000000001E-2</v>
      </c>
      <c r="R99" s="455">
        <f>Sal_valid!R122</f>
        <v>0.01</v>
      </c>
    </row>
    <row r="100" spans="2:18" ht="15" customHeight="1" x14ac:dyDescent="0.25">
      <c r="B100" s="406">
        <v>2066</v>
      </c>
      <c r="C100" s="483">
        <v>85749.052321015595</v>
      </c>
      <c r="D100" s="484">
        <v>76986.483270040859</v>
      </c>
      <c r="E100" s="484">
        <v>71635.967019810632</v>
      </c>
      <c r="F100" s="485">
        <v>64282.883114794036</v>
      </c>
      <c r="G100" s="483">
        <f t="shared" si="10"/>
        <v>37812.505807549998</v>
      </c>
      <c r="H100" s="484">
        <f t="shared" si="10"/>
        <v>33948.501668021614</v>
      </c>
      <c r="I100" s="484">
        <f t="shared" si="10"/>
        <v>31589.10035326636</v>
      </c>
      <c r="J100" s="485">
        <f t="shared" si="10"/>
        <v>28346.632706849003</v>
      </c>
      <c r="K100" s="486">
        <f t="shared" si="11"/>
        <v>3.5815000000000152E-2</v>
      </c>
      <c r="L100" s="454">
        <f t="shared" si="11"/>
        <v>3.2762499999999806E-2</v>
      </c>
      <c r="M100" s="454">
        <f t="shared" si="11"/>
        <v>3.0727500000000019E-2</v>
      </c>
      <c r="N100" s="487">
        <f t="shared" si="11"/>
        <v>2.7674999999999894E-2</v>
      </c>
      <c r="O100" s="453">
        <f>Sal_valid!O123</f>
        <v>1.8000000000000002E-2</v>
      </c>
      <c r="P100" s="454">
        <f>Sal_valid!P123</f>
        <v>1.4999999999999999E-2</v>
      </c>
      <c r="Q100" s="454">
        <f>Sal_valid!Q123</f>
        <v>1.3000000000000001E-2</v>
      </c>
      <c r="R100" s="455">
        <f>Sal_valid!R123</f>
        <v>0.01</v>
      </c>
    </row>
    <row r="101" spans="2:18" ht="15" customHeight="1" x14ac:dyDescent="0.25">
      <c r="B101" s="406">
        <v>2067</v>
      </c>
      <c r="C101" s="483">
        <v>88820.154629892801</v>
      </c>
      <c r="D101" s="484">
        <v>79508.752928175585</v>
      </c>
      <c r="E101" s="484">
        <v>73837.161196411864</v>
      </c>
      <c r="F101" s="485">
        <v>66061.91190499597</v>
      </c>
      <c r="G101" s="483">
        <f t="shared" si="10"/>
        <v>38493.1309120859</v>
      </c>
      <c r="H101" s="484">
        <f t="shared" si="10"/>
        <v>34457.729193041938</v>
      </c>
      <c r="I101" s="484">
        <f t="shared" si="10"/>
        <v>31999.75865785882</v>
      </c>
      <c r="J101" s="485">
        <f t="shared" si="10"/>
        <v>28630.099033917493</v>
      </c>
      <c r="K101" s="486">
        <f t="shared" si="11"/>
        <v>3.5815000000000374E-2</v>
      </c>
      <c r="L101" s="454">
        <f t="shared" si="11"/>
        <v>3.276250000000025E-2</v>
      </c>
      <c r="M101" s="454">
        <f t="shared" si="11"/>
        <v>3.0727500000000019E-2</v>
      </c>
      <c r="N101" s="487">
        <f t="shared" si="11"/>
        <v>2.7675000000000116E-2</v>
      </c>
      <c r="O101" s="453">
        <f>Sal_valid!O124</f>
        <v>1.8000000000000002E-2</v>
      </c>
      <c r="P101" s="454">
        <f>Sal_valid!P124</f>
        <v>1.4999999999999999E-2</v>
      </c>
      <c r="Q101" s="454">
        <f>Sal_valid!Q124</f>
        <v>1.3000000000000001E-2</v>
      </c>
      <c r="R101" s="455">
        <f>Sal_valid!R124</f>
        <v>0.01</v>
      </c>
    </row>
    <row r="102" spans="2:18" ht="15" customHeight="1" x14ac:dyDescent="0.25">
      <c r="B102" s="406">
        <v>2068</v>
      </c>
      <c r="C102" s="483">
        <v>92001.248467962403</v>
      </c>
      <c r="D102" s="484">
        <v>82113.65844598494</v>
      </c>
      <c r="E102" s="484">
        <v>76105.992567074602</v>
      </c>
      <c r="F102" s="485">
        <v>67890.175316966735</v>
      </c>
      <c r="G102" s="483">
        <f t="shared" si="10"/>
        <v>39186.007268503447</v>
      </c>
      <c r="H102" s="484">
        <f t="shared" si="10"/>
        <v>34974.595130937567</v>
      </c>
      <c r="I102" s="484">
        <f t="shared" si="10"/>
        <v>32415.755520410981</v>
      </c>
      <c r="J102" s="485">
        <f t="shared" si="10"/>
        <v>28916.400024256669</v>
      </c>
      <c r="K102" s="486">
        <f t="shared" si="11"/>
        <v>3.581499999999993E-2</v>
      </c>
      <c r="L102" s="454">
        <f t="shared" si="11"/>
        <v>3.2762500000000028E-2</v>
      </c>
      <c r="M102" s="454">
        <f t="shared" si="11"/>
        <v>3.0727499999999797E-2</v>
      </c>
      <c r="N102" s="487">
        <f t="shared" si="11"/>
        <v>2.7675000000000116E-2</v>
      </c>
      <c r="O102" s="453">
        <f>Sal_valid!O125</f>
        <v>1.8000000000000002E-2</v>
      </c>
      <c r="P102" s="454">
        <f>Sal_valid!P125</f>
        <v>1.4999999999999999E-2</v>
      </c>
      <c r="Q102" s="454">
        <f>Sal_valid!Q125</f>
        <v>1.3000000000000001E-2</v>
      </c>
      <c r="R102" s="455">
        <f>Sal_valid!R125</f>
        <v>0.01</v>
      </c>
    </row>
    <row r="103" spans="2:18" ht="15" customHeight="1" x14ac:dyDescent="0.25">
      <c r="B103" s="406">
        <v>2069</v>
      </c>
      <c r="C103" s="483">
        <v>95296.27318184248</v>
      </c>
      <c r="D103" s="484">
        <v>84803.907180821523</v>
      </c>
      <c r="E103" s="484">
        <v>78444.53945367939</v>
      </c>
      <c r="F103" s="485">
        <v>69769.03591886381</v>
      </c>
      <c r="G103" s="483">
        <f t="shared" ref="G103:J104" si="12">G102*(1+O103)</f>
        <v>39891.355399336506</v>
      </c>
      <c r="H103" s="484">
        <f t="shared" si="12"/>
        <v>35499.214057901627</v>
      </c>
      <c r="I103" s="484">
        <f t="shared" si="12"/>
        <v>32837.160342176321</v>
      </c>
      <c r="J103" s="485">
        <f t="shared" si="12"/>
        <v>29205.564024499236</v>
      </c>
      <c r="K103" s="486">
        <f t="shared" si="11"/>
        <v>3.581499999999993E-2</v>
      </c>
      <c r="L103" s="454">
        <f t="shared" si="11"/>
        <v>3.2762500000000028E-2</v>
      </c>
      <c r="M103" s="454">
        <f t="shared" si="11"/>
        <v>3.0727500000000019E-2</v>
      </c>
      <c r="N103" s="487">
        <f t="shared" si="11"/>
        <v>2.7675000000000338E-2</v>
      </c>
      <c r="O103" s="453">
        <f>Sal_valid!O126</f>
        <v>1.8000000000000002E-2</v>
      </c>
      <c r="P103" s="454">
        <f>Sal_valid!P126</f>
        <v>1.4999999999999999E-2</v>
      </c>
      <c r="Q103" s="454">
        <f>Sal_valid!Q126</f>
        <v>1.3000000000000001E-2</v>
      </c>
      <c r="R103" s="455">
        <f>Sal_valid!R126</f>
        <v>0.01</v>
      </c>
    </row>
    <row r="104" spans="2:18" ht="15" customHeight="1" thickBot="1" x14ac:dyDescent="0.3">
      <c r="B104" s="413">
        <v>2070</v>
      </c>
      <c r="C104" s="488">
        <v>98709.309205850193</v>
      </c>
      <c r="D104" s="489">
        <v>87582.295189833181</v>
      </c>
      <c r="E104" s="489">
        <v>80854.944039742317</v>
      </c>
      <c r="F104" s="490">
        <v>71699.89398791836</v>
      </c>
      <c r="G104" s="488">
        <f t="shared" si="12"/>
        <v>40609.399796524565</v>
      </c>
      <c r="H104" s="489">
        <f t="shared" si="12"/>
        <v>36031.702268770146</v>
      </c>
      <c r="I104" s="489">
        <f t="shared" si="12"/>
        <v>33264.043426624608</v>
      </c>
      <c r="J104" s="490">
        <f t="shared" si="12"/>
        <v>29497.619664744227</v>
      </c>
      <c r="K104" s="491">
        <f t="shared" si="11"/>
        <v>3.5815000000000152E-2</v>
      </c>
      <c r="L104" s="459">
        <f t="shared" si="11"/>
        <v>3.2762500000000028E-2</v>
      </c>
      <c r="M104" s="459">
        <f t="shared" si="11"/>
        <v>3.0727500000000019E-2</v>
      </c>
      <c r="N104" s="492">
        <f t="shared" si="11"/>
        <v>2.7674999999999894E-2</v>
      </c>
      <c r="O104" s="458">
        <f>Sal_valid!O127</f>
        <v>1.8000000000000002E-2</v>
      </c>
      <c r="P104" s="459">
        <f>Sal_valid!P127</f>
        <v>1.4999999999999999E-2</v>
      </c>
      <c r="Q104" s="459">
        <f>Sal_valid!Q127</f>
        <v>1.3000000000000001E-2</v>
      </c>
      <c r="R104" s="460">
        <f>Sal_valid!R127</f>
        <v>0.01</v>
      </c>
    </row>
    <row r="105" spans="2:18" x14ac:dyDescent="0.25">
      <c r="B105" s="493"/>
    </row>
    <row r="106" spans="2:18" x14ac:dyDescent="0.25">
      <c r="B106" s="493"/>
    </row>
    <row r="107" spans="2:18" x14ac:dyDescent="0.25">
      <c r="B107" s="493"/>
    </row>
    <row r="108" spans="2:18" x14ac:dyDescent="0.25">
      <c r="B108" s="493"/>
    </row>
    <row r="109" spans="2:18" x14ac:dyDescent="0.25">
      <c r="B109" s="493"/>
    </row>
    <row r="110" spans="2:18" x14ac:dyDescent="0.25">
      <c r="B110" s="493"/>
    </row>
    <row r="111" spans="2:18" x14ac:dyDescent="0.25">
      <c r="B111" s="493"/>
    </row>
    <row r="112" spans="2:18" x14ac:dyDescent="0.25">
      <c r="B112" s="493"/>
    </row>
    <row r="113" spans="2:2" x14ac:dyDescent="0.25">
      <c r="B113" s="493"/>
    </row>
    <row r="114" spans="2:2" x14ac:dyDescent="0.25">
      <c r="B114" s="493"/>
    </row>
    <row r="115" spans="2:2" x14ac:dyDescent="0.25">
      <c r="B115" s="493"/>
    </row>
    <row r="116" spans="2:2" x14ac:dyDescent="0.25">
      <c r="B116" s="493"/>
    </row>
    <row r="117" spans="2:2" x14ac:dyDescent="0.25">
      <c r="B117" s="493"/>
    </row>
    <row r="118" spans="2:2" x14ac:dyDescent="0.25">
      <c r="B118" s="493"/>
    </row>
    <row r="119" spans="2:2" x14ac:dyDescent="0.25">
      <c r="B119" s="493"/>
    </row>
  </sheetData>
  <mergeCells count="5">
    <mergeCell ref="B4:B5"/>
    <mergeCell ref="C4:F4"/>
    <mergeCell ref="G4:J4"/>
    <mergeCell ref="K4:N4"/>
    <mergeCell ref="O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I44"/>
  <sheetViews>
    <sheetView topLeftCell="A22" workbookViewId="0">
      <selection activeCell="D33" sqref="D33"/>
    </sheetView>
  </sheetViews>
  <sheetFormatPr baseColWidth="10" defaultRowHeight="15" x14ac:dyDescent="0.25"/>
  <cols>
    <col min="1" max="1" width="11.42578125" style="45"/>
    <col min="2" max="2" width="56.42578125" style="45" bestFit="1" customWidth="1"/>
    <col min="3" max="3" width="1.85546875" style="45" customWidth="1"/>
    <col min="4" max="4" width="23.85546875" style="45" customWidth="1"/>
    <col min="5" max="5" width="1.85546875" style="45" customWidth="1"/>
    <col min="6" max="6" width="57" style="45" customWidth="1"/>
    <col min="7" max="7" width="10.42578125" style="45" customWidth="1"/>
    <col min="8" max="16384" width="11.42578125" style="45"/>
  </cols>
  <sheetData>
    <row r="1" spans="2:9" ht="15.75" thickBot="1" x14ac:dyDescent="0.3"/>
    <row r="2" spans="2:9" x14ac:dyDescent="0.25">
      <c r="B2" s="100" t="s">
        <v>247</v>
      </c>
      <c r="D2" s="97" t="s">
        <v>65</v>
      </c>
    </row>
    <row r="3" spans="2:9" ht="15" customHeight="1" x14ac:dyDescent="0.25">
      <c r="B3" s="338" t="s">
        <v>34</v>
      </c>
      <c r="D3" s="98">
        <v>2</v>
      </c>
      <c r="F3" s="339" t="s">
        <v>390</v>
      </c>
    </row>
    <row r="4" spans="2:9" ht="15" customHeight="1" x14ac:dyDescent="0.25">
      <c r="B4" s="101" t="s">
        <v>55</v>
      </c>
      <c r="D4" s="99">
        <v>2000</v>
      </c>
      <c r="F4" s="339"/>
    </row>
    <row r="5" spans="2:9" ht="15" customHeight="1" x14ac:dyDescent="0.25">
      <c r="B5" s="101" t="s">
        <v>50</v>
      </c>
      <c r="D5" s="354">
        <v>21</v>
      </c>
      <c r="F5" s="45" t="s">
        <v>245</v>
      </c>
    </row>
    <row r="6" spans="2:9" ht="15" customHeight="1" x14ac:dyDescent="0.25">
      <c r="B6" s="101" t="s">
        <v>35</v>
      </c>
      <c r="D6" s="354">
        <v>64</v>
      </c>
      <c r="F6" s="45" t="s">
        <v>102</v>
      </c>
      <c r="I6" s="96"/>
    </row>
    <row r="7" spans="2:9" ht="15" customHeight="1" x14ac:dyDescent="0.25">
      <c r="B7" s="101" t="s">
        <v>276</v>
      </c>
      <c r="D7" s="354" t="s">
        <v>460</v>
      </c>
      <c r="F7" s="45" t="s">
        <v>459</v>
      </c>
      <c r="I7" s="96"/>
    </row>
    <row r="8" spans="2:9" ht="15" customHeight="1" x14ac:dyDescent="0.25">
      <c r="B8" s="101" t="s">
        <v>275</v>
      </c>
      <c r="D8" s="98" t="s">
        <v>389</v>
      </c>
      <c r="F8" s="339" t="s">
        <v>287</v>
      </c>
    </row>
    <row r="9" spans="2:9" ht="15" customHeight="1" x14ac:dyDescent="0.25">
      <c r="B9" s="101" t="s">
        <v>277</v>
      </c>
      <c r="D9" s="98" t="s">
        <v>461</v>
      </c>
      <c r="F9" s="339" t="s">
        <v>288</v>
      </c>
    </row>
    <row r="10" spans="2:9" ht="15" customHeight="1" x14ac:dyDescent="0.25">
      <c r="B10" s="101" t="s">
        <v>52</v>
      </c>
      <c r="D10" s="98">
        <v>0</v>
      </c>
      <c r="F10" s="339" t="s">
        <v>103</v>
      </c>
    </row>
    <row r="11" spans="2:9" ht="15" customHeight="1" x14ac:dyDescent="0.25">
      <c r="B11" s="101" t="s">
        <v>283</v>
      </c>
      <c r="D11" s="98" t="s">
        <v>185</v>
      </c>
      <c r="F11" s="45" t="s">
        <v>243</v>
      </c>
    </row>
    <row r="12" spans="2:9" ht="15" customHeight="1" x14ac:dyDescent="0.25">
      <c r="B12" s="101" t="s">
        <v>391</v>
      </c>
      <c r="D12" s="369"/>
      <c r="F12" s="339" t="s">
        <v>394</v>
      </c>
    </row>
    <row r="13" spans="2:9" ht="15" customHeight="1" x14ac:dyDescent="0.25">
      <c r="B13" s="101" t="s">
        <v>392</v>
      </c>
      <c r="D13" s="369"/>
      <c r="F13" s="339" t="s">
        <v>395</v>
      </c>
    </row>
    <row r="14" spans="2:9" ht="15" customHeight="1" thickBot="1" x14ac:dyDescent="0.3">
      <c r="B14" s="102" t="s">
        <v>361</v>
      </c>
      <c r="D14" s="370"/>
      <c r="F14" s="339" t="s">
        <v>393</v>
      </c>
    </row>
    <row r="15" spans="2:9" ht="15" customHeight="1" thickBot="1" x14ac:dyDescent="0.3"/>
    <row r="16" spans="2:9" ht="15" customHeight="1" x14ac:dyDescent="0.25">
      <c r="B16" s="341" t="s">
        <v>250</v>
      </c>
      <c r="D16" s="342" t="s">
        <v>438</v>
      </c>
    </row>
    <row r="17" spans="2:6" ht="15" customHeight="1" x14ac:dyDescent="0.25">
      <c r="B17" s="343" t="s">
        <v>260</v>
      </c>
      <c r="D17" s="346" t="s">
        <v>53</v>
      </c>
      <c r="F17" s="45" t="s">
        <v>362</v>
      </c>
    </row>
    <row r="18" spans="2:6" ht="15" customHeight="1" x14ac:dyDescent="0.25">
      <c r="B18" s="343" t="s">
        <v>285</v>
      </c>
      <c r="D18" s="346" t="s">
        <v>53</v>
      </c>
      <c r="F18" s="45" t="s">
        <v>362</v>
      </c>
    </row>
    <row r="19" spans="2:6" ht="15" customHeight="1" x14ac:dyDescent="0.25">
      <c r="B19" s="343" t="s">
        <v>244</v>
      </c>
      <c r="D19" s="346" t="s">
        <v>53</v>
      </c>
      <c r="F19" s="45" t="s">
        <v>363</v>
      </c>
    </row>
    <row r="20" spans="2:6" ht="15" customHeight="1" x14ac:dyDescent="0.25">
      <c r="B20" s="343" t="s">
        <v>359</v>
      </c>
      <c r="D20" s="346" t="s">
        <v>185</v>
      </c>
      <c r="F20" s="45" t="s">
        <v>363</v>
      </c>
    </row>
    <row r="21" spans="2:6" ht="15" customHeight="1" thickBot="1" x14ac:dyDescent="0.3">
      <c r="B21" s="344" t="s">
        <v>246</v>
      </c>
      <c r="D21" s="353" t="s">
        <v>185</v>
      </c>
      <c r="F21" s="45" t="s">
        <v>363</v>
      </c>
    </row>
    <row r="22" spans="2:6" ht="15" customHeight="1" thickBot="1" x14ac:dyDescent="0.3"/>
    <row r="23" spans="2:6" ht="15" customHeight="1" thickBot="1" x14ac:dyDescent="0.3">
      <c r="B23" s="752" t="s">
        <v>248</v>
      </c>
      <c r="D23" s="340">
        <v>1.2999999999999999E-2</v>
      </c>
      <c r="F23" s="45" t="s">
        <v>249</v>
      </c>
    </row>
    <row r="24" spans="2:6" ht="15" customHeight="1" thickBot="1" x14ac:dyDescent="0.3"/>
    <row r="25" spans="2:6" ht="15" customHeight="1" x14ac:dyDescent="0.25">
      <c r="B25" s="341" t="s">
        <v>250</v>
      </c>
      <c r="D25" s="342" t="s">
        <v>440</v>
      </c>
    </row>
    <row r="26" spans="2:6" ht="15" customHeight="1" x14ac:dyDescent="0.25">
      <c r="B26" s="343" t="s">
        <v>239</v>
      </c>
      <c r="D26" s="359">
        <v>62</v>
      </c>
      <c r="F26" s="45" t="s">
        <v>241</v>
      </c>
    </row>
    <row r="27" spans="2:6" ht="15" customHeight="1" x14ac:dyDescent="0.25">
      <c r="B27" s="343" t="s">
        <v>240</v>
      </c>
      <c r="D27" s="359">
        <v>67</v>
      </c>
      <c r="F27" s="45" t="s">
        <v>242</v>
      </c>
    </row>
    <row r="28" spans="2:6" ht="15" customHeight="1" x14ac:dyDescent="0.25">
      <c r="B28" s="343" t="s">
        <v>54</v>
      </c>
      <c r="D28" s="359">
        <v>43</v>
      </c>
    </row>
    <row r="29" spans="2:6" ht="15" customHeight="1" thickBot="1" x14ac:dyDescent="0.3">
      <c r="B29" s="344" t="s">
        <v>289</v>
      </c>
      <c r="D29" s="353" t="s">
        <v>290</v>
      </c>
      <c r="F29" s="45" t="s">
        <v>291</v>
      </c>
    </row>
    <row r="30" spans="2:6" ht="15.75" thickBot="1" x14ac:dyDescent="0.3"/>
    <row r="31" spans="2:6" ht="15" customHeight="1" x14ac:dyDescent="0.25">
      <c r="B31" s="341" t="s">
        <v>250</v>
      </c>
      <c r="D31" s="342" t="s">
        <v>439</v>
      </c>
    </row>
    <row r="32" spans="2:6" ht="15" customHeight="1" x14ac:dyDescent="0.25">
      <c r="B32" s="343" t="s">
        <v>238</v>
      </c>
      <c r="D32" s="345" t="s">
        <v>2</v>
      </c>
      <c r="F32" s="45" t="s">
        <v>265</v>
      </c>
    </row>
    <row r="33" spans="2:6" ht="15" customHeight="1" x14ac:dyDescent="0.25">
      <c r="B33" s="343" t="s">
        <v>36</v>
      </c>
      <c r="D33" s="346" t="s">
        <v>2</v>
      </c>
      <c r="F33" s="45" t="s">
        <v>265</v>
      </c>
    </row>
    <row r="34" spans="2:6" ht="15" customHeight="1" x14ac:dyDescent="0.25">
      <c r="B34" s="343" t="s">
        <v>37</v>
      </c>
      <c r="D34" s="346" t="s">
        <v>2</v>
      </c>
      <c r="F34" s="45" t="s">
        <v>265</v>
      </c>
    </row>
    <row r="35" spans="2:6" ht="15" customHeight="1" thickBot="1" x14ac:dyDescent="0.3">
      <c r="B35" s="344" t="s">
        <v>58</v>
      </c>
      <c r="D35" s="742" t="s">
        <v>2</v>
      </c>
      <c r="F35" s="45" t="s">
        <v>265</v>
      </c>
    </row>
    <row r="36" spans="2:6" ht="15.75" thickBot="1" x14ac:dyDescent="0.3"/>
    <row r="37" spans="2:6" ht="15" customHeight="1" x14ac:dyDescent="0.25">
      <c r="B37" s="341" t="s">
        <v>250</v>
      </c>
      <c r="D37" s="342" t="s">
        <v>263</v>
      </c>
    </row>
    <row r="38" spans="2:6" ht="15" customHeight="1" x14ac:dyDescent="0.25">
      <c r="B38" s="343" t="s">
        <v>38</v>
      </c>
      <c r="D38" s="346" t="s">
        <v>39</v>
      </c>
      <c r="F38" s="45" t="s">
        <v>264</v>
      </c>
    </row>
    <row r="39" spans="2:6" ht="15" customHeight="1" thickBot="1" x14ac:dyDescent="0.3">
      <c r="B39" s="344" t="s">
        <v>40</v>
      </c>
      <c r="D39" s="347">
        <v>0.5</v>
      </c>
      <c r="F39" s="45" t="s">
        <v>292</v>
      </c>
    </row>
    <row r="40" spans="2:6" ht="15.75" thickBot="1" x14ac:dyDescent="0.3"/>
    <row r="41" spans="2:6" ht="15" customHeight="1" x14ac:dyDescent="0.25">
      <c r="B41" s="341" t="s">
        <v>250</v>
      </c>
      <c r="D41" s="342" t="s">
        <v>33</v>
      </c>
    </row>
    <row r="42" spans="2:6" ht="15" customHeight="1" x14ac:dyDescent="0.25">
      <c r="B42" s="343" t="s">
        <v>262</v>
      </c>
      <c r="D42" s="346" t="s">
        <v>53</v>
      </c>
      <c r="F42" s="45" t="s">
        <v>243</v>
      </c>
    </row>
    <row r="43" spans="2:6" ht="15" customHeight="1" x14ac:dyDescent="0.25">
      <c r="B43" s="343" t="s">
        <v>261</v>
      </c>
      <c r="D43" s="346" t="s">
        <v>53</v>
      </c>
      <c r="F43" s="45" t="s">
        <v>243</v>
      </c>
    </row>
    <row r="44" spans="2:6" ht="15" customHeight="1" thickBot="1" x14ac:dyDescent="0.3">
      <c r="B44" s="344" t="s">
        <v>101</v>
      </c>
      <c r="D44" s="353" t="s">
        <v>53</v>
      </c>
      <c r="F44" s="45" t="s">
        <v>243</v>
      </c>
    </row>
  </sheetData>
  <dataValidations count="16">
    <dataValidation type="list" allowBlank="1" showInputMessage="1" showErrorMessage="1" sqref="D33:D34">
      <formula1>"Salaires,Prix"</formula1>
    </dataValidation>
    <dataValidation type="list" allowBlank="1" showInputMessage="1" showErrorMessage="1" sqref="D42:D44 D11 D17:D21">
      <formula1>"Oui,Non"</formula1>
    </dataValidation>
    <dataValidation type="list" allowBlank="1" showInputMessage="1" showErrorMessage="1" sqref="D39">
      <formula1>"25%,50%,75%"</formula1>
    </dataValidation>
    <dataValidation type="list" allowBlank="1" showInputMessage="1" showErrorMessage="1" sqref="D38">
      <formula1>"25_meilleures,Totalité"</formula1>
    </dataValidation>
    <dataValidation type="list" allowBlank="1" showInputMessage="1" showErrorMessage="1" sqref="D5">
      <formula1>"17,18,19,20,21,22,23,24"</formula1>
    </dataValidation>
    <dataValidation type="list" allowBlank="1" showInputMessage="1" showErrorMessage="1" sqref="D10">
      <formula1>"0,1,2,3"</formula1>
    </dataValidation>
    <dataValidation type="list" allowBlank="1" showInputMessage="1" showErrorMessage="1" sqref="D8">
      <formula1>"Homme,Femme,Neutre"</formula1>
    </dataValidation>
    <dataValidation type="list" allowBlank="1" showInputMessage="1" showErrorMessage="1" sqref="D9">
      <formula1>"Moyen,Cadre,Ouvrier"</formula1>
    </dataValidation>
    <dataValidation type="list" allowBlank="1" showInputMessage="1" showErrorMessage="1" sqref="D3">
      <formula1>"1,2,2M,2F,2P,SMIC"</formula1>
    </dataValidation>
    <dataValidation type="list" allowBlank="1" showInputMessage="1" showErrorMessage="1" sqref="D23">
      <mc:AlternateContent xmlns:x12ac="http://schemas.microsoft.com/office/spreadsheetml/2011/1/ac" xmlns:mc="http://schemas.openxmlformats.org/markup-compatibility/2006">
        <mc:Choice Requires="x12ac">
          <x12ac:list>"1,8%","1,5%","1,3 %","1,0%"</x12ac:list>
        </mc:Choice>
        <mc:Fallback>
          <formula1>"1,8%,1,5%,1,3 %,1,0%"</formula1>
        </mc:Fallback>
      </mc:AlternateContent>
    </dataValidation>
    <dataValidation type="list" allowBlank="1" showInputMessage="1" showErrorMessage="1" sqref="D26">
      <formula1>"62,64"</formula1>
    </dataValidation>
    <dataValidation type="list" allowBlank="1" showInputMessage="1" showErrorMessage="1" sqref="D27">
      <formula1>"67,69"</formula1>
    </dataValidation>
    <dataValidation type="list" allowBlank="1" showInputMessage="1" showErrorMessage="1" sqref="D7">
      <formula1>"Femme,Homme"</formula1>
    </dataValidation>
    <dataValidation type="list" allowBlank="1" showInputMessage="1" showErrorMessage="1" sqref="D29">
      <formula1>"Âge+Durée,Âge"</formula1>
    </dataValidation>
    <dataValidation type="list" allowBlank="1" showInputMessage="1" showErrorMessage="1" sqref="D32 D35">
      <formula1>"Prix,SMPT"</formula1>
    </dataValidation>
    <dataValidation type="list" allowBlank="1" showInputMessage="1" showErrorMessage="1" sqref="D14">
      <formula1>"Chômage,Inactivité,Enfants"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EV!$B$16:$B$23</xm:f>
          </x14:formula1>
          <xm:sqref>D6</xm:sqref>
        </x14:dataValidation>
        <x14:dataValidation type="list" allowBlank="1" showInputMessage="1" showErrorMessage="1">
          <x14:formula1>
            <xm:f>Salaires!$B$7:$B$58</xm:f>
          </x14:formula1>
          <xm:sqref>D13</xm:sqref>
        </x14:dataValidation>
        <x14:dataValidation type="list" allowBlank="1" showInputMessage="1" showErrorMessage="1">
          <x14:formula1>
            <xm:f>Info_cas_type!$B$5:$B$55</xm:f>
          </x14:formula1>
          <xm:sqref>D12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J72"/>
  <sheetViews>
    <sheetView workbookViewId="0">
      <selection activeCell="A22" sqref="A1:XFD1048576"/>
    </sheetView>
  </sheetViews>
  <sheetFormatPr baseColWidth="10" defaultColWidth="11.42578125" defaultRowHeight="15" x14ac:dyDescent="0.25"/>
  <cols>
    <col min="1" max="1" width="1.85546875" style="372" customWidth="1"/>
    <col min="2" max="2" width="9.7109375" style="372" customWidth="1"/>
    <col min="3" max="6" width="13" style="372" customWidth="1"/>
    <col min="7" max="16384" width="11.42578125" style="372"/>
  </cols>
  <sheetData>
    <row r="1" spans="2:10" x14ac:dyDescent="0.25">
      <c r="B1" s="371" t="s">
        <v>329</v>
      </c>
    </row>
    <row r="2" spans="2:10" x14ac:dyDescent="0.25">
      <c r="B2" s="372" t="s">
        <v>330</v>
      </c>
    </row>
    <row r="3" spans="2:10" ht="15.75" thickBot="1" x14ac:dyDescent="0.3"/>
    <row r="4" spans="2:10" ht="19.5" customHeight="1" x14ac:dyDescent="0.25">
      <c r="B4" s="811" t="s">
        <v>10</v>
      </c>
      <c r="C4" s="813" t="s">
        <v>331</v>
      </c>
      <c r="D4" s="814"/>
      <c r="E4" s="814"/>
      <c r="F4" s="815"/>
      <c r="G4" s="816" t="s">
        <v>332</v>
      </c>
      <c r="H4" s="814"/>
      <c r="I4" s="814"/>
      <c r="J4" s="817"/>
    </row>
    <row r="5" spans="2:10" ht="19.5" customHeight="1" thickBot="1" x14ac:dyDescent="0.3">
      <c r="B5" s="812"/>
      <c r="C5" s="422" t="s">
        <v>316</v>
      </c>
      <c r="D5" s="420" t="s">
        <v>317</v>
      </c>
      <c r="E5" s="420" t="s">
        <v>318</v>
      </c>
      <c r="F5" s="421" t="s">
        <v>319</v>
      </c>
      <c r="G5" s="419" t="s">
        <v>316</v>
      </c>
      <c r="H5" s="420" t="s">
        <v>317</v>
      </c>
      <c r="I5" s="420" t="s">
        <v>318</v>
      </c>
      <c r="J5" s="423" t="s">
        <v>319</v>
      </c>
    </row>
    <row r="6" spans="2:10" ht="15" customHeight="1" x14ac:dyDescent="0.25">
      <c r="B6" s="494">
        <v>2019</v>
      </c>
      <c r="C6" s="495">
        <v>17.057099999999998</v>
      </c>
      <c r="D6" s="496">
        <f t="shared" ref="D6:F6" si="0">C6</f>
        <v>17.057099999999998</v>
      </c>
      <c r="E6" s="496">
        <f t="shared" si="0"/>
        <v>17.057099999999998</v>
      </c>
      <c r="F6" s="497">
        <f t="shared" si="0"/>
        <v>17.057099999999998</v>
      </c>
      <c r="G6" s="498">
        <v>1.2714000000000001</v>
      </c>
      <c r="H6" s="499">
        <v>1.2714000000000001</v>
      </c>
      <c r="I6" s="499">
        <v>1.2714000000000001</v>
      </c>
      <c r="J6" s="500">
        <v>1.2714000000000001</v>
      </c>
    </row>
    <row r="7" spans="2:10" ht="15" customHeight="1" x14ac:dyDescent="0.25">
      <c r="B7" s="494">
        <v>2020</v>
      </c>
      <c r="C7" s="495">
        <v>17.398199999999999</v>
      </c>
      <c r="D7" s="496">
        <v>17.398199999999999</v>
      </c>
      <c r="E7" s="496">
        <v>17.398199999999999</v>
      </c>
      <c r="F7" s="497">
        <v>17.398199999999999</v>
      </c>
      <c r="G7" s="498">
        <v>1.2714000000000001</v>
      </c>
      <c r="H7" s="499">
        <v>1.2714000000000001</v>
      </c>
      <c r="I7" s="499">
        <v>1.2714000000000001</v>
      </c>
      <c r="J7" s="500">
        <v>1.2714000000000001</v>
      </c>
    </row>
    <row r="8" spans="2:10" ht="15" customHeight="1" x14ac:dyDescent="0.25">
      <c r="B8" s="494">
        <v>2021</v>
      </c>
      <c r="C8" s="495">
        <v>17.398199999999999</v>
      </c>
      <c r="D8" s="496">
        <v>17.398199999999999</v>
      </c>
      <c r="E8" s="496">
        <v>17.398199999999999</v>
      </c>
      <c r="F8" s="497">
        <v>17.398199999999999</v>
      </c>
      <c r="G8" s="498">
        <v>1.2842</v>
      </c>
      <c r="H8" s="499">
        <v>1.2842</v>
      </c>
      <c r="I8" s="499">
        <v>1.2842</v>
      </c>
      <c r="J8" s="500">
        <v>1.2842</v>
      </c>
    </row>
    <row r="9" spans="2:10" ht="15" customHeight="1" x14ac:dyDescent="0.25">
      <c r="B9" s="501">
        <v>2022</v>
      </c>
      <c r="C9" s="502">
        <v>17.443200000000001</v>
      </c>
      <c r="D9" s="503">
        <v>17.443200000000001</v>
      </c>
      <c r="E9" s="503">
        <v>17.443200000000001</v>
      </c>
      <c r="F9" s="504">
        <v>17.443200000000001</v>
      </c>
      <c r="G9" s="505">
        <v>1.2943</v>
      </c>
      <c r="H9" s="506">
        <v>1.2943</v>
      </c>
      <c r="I9" s="506">
        <v>1.2943</v>
      </c>
      <c r="J9" s="507">
        <v>1.2943</v>
      </c>
    </row>
    <row r="10" spans="2:10" ht="15" customHeight="1" x14ac:dyDescent="0.25">
      <c r="B10" s="508">
        <v>2023</v>
      </c>
      <c r="C10" s="509">
        <v>18.102599999999999</v>
      </c>
      <c r="D10" s="510">
        <v>18.102599999999999</v>
      </c>
      <c r="E10" s="510">
        <v>18.102599999999999</v>
      </c>
      <c r="F10" s="511">
        <v>18.102599999999999</v>
      </c>
      <c r="G10" s="512">
        <v>1.3245</v>
      </c>
      <c r="H10" s="513">
        <v>1.3245</v>
      </c>
      <c r="I10" s="513">
        <v>1.3245</v>
      </c>
      <c r="J10" s="514">
        <v>1.3245</v>
      </c>
    </row>
    <row r="11" spans="2:10" ht="15" customHeight="1" x14ac:dyDescent="0.25">
      <c r="B11" s="508">
        <v>2024</v>
      </c>
      <c r="C11" s="509">
        <v>18.734400000000001</v>
      </c>
      <c r="D11" s="510">
        <v>18.734400000000001</v>
      </c>
      <c r="E11" s="510">
        <v>18.734400000000001</v>
      </c>
      <c r="F11" s="511">
        <v>18.734400000000001</v>
      </c>
      <c r="G11" s="512">
        <v>1.3513999999999999</v>
      </c>
      <c r="H11" s="513">
        <v>1.3513999999999999</v>
      </c>
      <c r="I11" s="513">
        <v>1.3513999999999999</v>
      </c>
      <c r="J11" s="514">
        <v>1.3513999999999999</v>
      </c>
    </row>
    <row r="12" spans="2:10" ht="15" customHeight="1" x14ac:dyDescent="0.25">
      <c r="B12" s="508">
        <v>2025</v>
      </c>
      <c r="C12" s="509">
        <v>19.332000000000001</v>
      </c>
      <c r="D12" s="510">
        <v>19.332000000000001</v>
      </c>
      <c r="E12" s="510">
        <v>19.332000000000001</v>
      </c>
      <c r="F12" s="511">
        <v>19.332000000000001</v>
      </c>
      <c r="G12" s="512">
        <v>1.3781000000000001</v>
      </c>
      <c r="H12" s="513">
        <v>1.3781000000000001</v>
      </c>
      <c r="I12" s="513">
        <v>1.3781000000000001</v>
      </c>
      <c r="J12" s="514">
        <v>1.3781000000000001</v>
      </c>
    </row>
    <row r="13" spans="2:10" ht="15" customHeight="1" x14ac:dyDescent="0.25">
      <c r="B13" s="508">
        <v>2026</v>
      </c>
      <c r="C13" s="509">
        <v>19.937100000000001</v>
      </c>
      <c r="D13" s="510">
        <v>19.937100000000001</v>
      </c>
      <c r="E13" s="510">
        <v>19.937100000000001</v>
      </c>
      <c r="F13" s="511">
        <v>19.937100000000001</v>
      </c>
      <c r="G13" s="512">
        <v>1.4041999999999999</v>
      </c>
      <c r="H13" s="513">
        <v>1.4041999999999999</v>
      </c>
      <c r="I13" s="513">
        <v>1.4041999999999999</v>
      </c>
      <c r="J13" s="514">
        <v>1.4041999999999999</v>
      </c>
    </row>
    <row r="14" spans="2:10" ht="15" customHeight="1" x14ac:dyDescent="0.25">
      <c r="B14" s="508">
        <v>2027</v>
      </c>
      <c r="C14" s="509">
        <v>20.545200000000001</v>
      </c>
      <c r="D14" s="510">
        <v>20.545200000000001</v>
      </c>
      <c r="E14" s="510">
        <v>20.545200000000001</v>
      </c>
      <c r="F14" s="511">
        <v>20.545200000000001</v>
      </c>
      <c r="G14" s="512">
        <v>1.4291</v>
      </c>
      <c r="H14" s="513">
        <v>1.4291</v>
      </c>
      <c r="I14" s="513">
        <v>1.4291</v>
      </c>
      <c r="J14" s="514">
        <v>1.4291</v>
      </c>
    </row>
    <row r="15" spans="2:10" ht="15" customHeight="1" x14ac:dyDescent="0.25">
      <c r="B15" s="508">
        <v>2028</v>
      </c>
      <c r="C15" s="509">
        <v>21.147200000000002</v>
      </c>
      <c r="D15" s="510">
        <v>21.147200000000002</v>
      </c>
      <c r="E15" s="510">
        <v>21.147200000000002</v>
      </c>
      <c r="F15" s="511">
        <v>21.147200000000002</v>
      </c>
      <c r="G15" s="512">
        <v>1.4521999999999999</v>
      </c>
      <c r="H15" s="513">
        <v>1.4512</v>
      </c>
      <c r="I15" s="513">
        <v>1.4505999999999999</v>
      </c>
      <c r="J15" s="514">
        <v>1.4497</v>
      </c>
    </row>
    <row r="16" spans="2:10" ht="15" customHeight="1" x14ac:dyDescent="0.25">
      <c r="B16" s="508">
        <v>2029</v>
      </c>
      <c r="C16" s="509">
        <v>21.733000000000001</v>
      </c>
      <c r="D16" s="510">
        <v>21.720300000000002</v>
      </c>
      <c r="E16" s="510">
        <v>21.7118</v>
      </c>
      <c r="F16" s="511">
        <v>21.696999999999999</v>
      </c>
      <c r="G16" s="512">
        <v>1.478</v>
      </c>
      <c r="H16" s="513">
        <v>1.4751000000000001</v>
      </c>
      <c r="I16" s="513">
        <v>1.4734</v>
      </c>
      <c r="J16" s="514">
        <v>1.4706999999999999</v>
      </c>
    </row>
    <row r="17" spans="2:10" ht="15" customHeight="1" x14ac:dyDescent="0.25">
      <c r="B17" s="508">
        <v>2030</v>
      </c>
      <c r="C17" s="509">
        <v>22.372</v>
      </c>
      <c r="D17" s="510">
        <v>22.3306</v>
      </c>
      <c r="E17" s="510">
        <v>22.304500000000001</v>
      </c>
      <c r="F17" s="511">
        <v>22.263300000000001</v>
      </c>
      <c r="G17" s="512">
        <v>1.5066999999999999</v>
      </c>
      <c r="H17" s="513">
        <v>1.5009999999999999</v>
      </c>
      <c r="I17" s="513">
        <v>1.4974000000000001</v>
      </c>
      <c r="J17" s="514">
        <v>1.492</v>
      </c>
    </row>
    <row r="18" spans="2:10" ht="15" customHeight="1" x14ac:dyDescent="0.25">
      <c r="B18" s="508">
        <v>2031</v>
      </c>
      <c r="C18" s="509">
        <v>23.0655</v>
      </c>
      <c r="D18" s="510">
        <v>22.980399999999999</v>
      </c>
      <c r="E18" s="510">
        <v>22.9268</v>
      </c>
      <c r="F18" s="511">
        <v>22.8444</v>
      </c>
      <c r="G18" s="512">
        <v>1.5398000000000001</v>
      </c>
      <c r="H18" s="513">
        <v>1.5303</v>
      </c>
      <c r="I18" s="513">
        <v>1.5242</v>
      </c>
      <c r="J18" s="514">
        <v>1.5150999999999999</v>
      </c>
    </row>
    <row r="19" spans="2:10" ht="15" customHeight="1" x14ac:dyDescent="0.25">
      <c r="B19" s="508">
        <v>2032</v>
      </c>
      <c r="C19" s="509">
        <v>23.840499999999999</v>
      </c>
      <c r="D19" s="510">
        <v>23.6951</v>
      </c>
      <c r="E19" s="510">
        <v>23.603100000000001</v>
      </c>
      <c r="F19" s="511">
        <v>23.4635</v>
      </c>
      <c r="G19" s="512">
        <v>1.5764</v>
      </c>
      <c r="H19" s="513">
        <v>1.5620000000000001</v>
      </c>
      <c r="I19" s="513">
        <v>1.5526</v>
      </c>
      <c r="J19" s="514">
        <v>1.5387</v>
      </c>
    </row>
    <row r="20" spans="2:10" ht="15" customHeight="1" x14ac:dyDescent="0.25">
      <c r="B20" s="508">
        <v>2033</v>
      </c>
      <c r="C20" s="509">
        <v>24.682099999999998</v>
      </c>
      <c r="D20" s="510">
        <v>24.4605</v>
      </c>
      <c r="E20" s="510">
        <v>24.318300000000001</v>
      </c>
      <c r="F20" s="511">
        <v>24.101700000000001</v>
      </c>
      <c r="G20" s="512">
        <v>1.6140000000000001</v>
      </c>
      <c r="H20" s="513">
        <v>1.5944</v>
      </c>
      <c r="I20" s="513">
        <v>1.5817000000000001</v>
      </c>
      <c r="J20" s="514">
        <v>1.5628</v>
      </c>
    </row>
    <row r="21" spans="2:10" ht="15" customHeight="1" x14ac:dyDescent="0.25">
      <c r="B21" s="406">
        <v>2034</v>
      </c>
      <c r="C21" s="515">
        <v>25.269500000000001</v>
      </c>
      <c r="D21" s="516">
        <v>24.9693</v>
      </c>
      <c r="E21" s="516">
        <v>24.773099999999999</v>
      </c>
      <c r="F21" s="517">
        <v>24.4801</v>
      </c>
      <c r="G21" s="518">
        <v>1.6525000000000001</v>
      </c>
      <c r="H21" s="519">
        <v>1.6275999999999999</v>
      </c>
      <c r="I21" s="519">
        <v>1.6113999999999999</v>
      </c>
      <c r="J21" s="520">
        <v>1.5872999999999999</v>
      </c>
    </row>
    <row r="22" spans="2:10" ht="15" customHeight="1" x14ac:dyDescent="0.25">
      <c r="B22" s="406">
        <v>2035</v>
      </c>
      <c r="C22" s="515">
        <v>25.870899999999999</v>
      </c>
      <c r="D22" s="516">
        <v>25.488700000000001</v>
      </c>
      <c r="E22" s="516">
        <v>25.238800000000001</v>
      </c>
      <c r="F22" s="517">
        <v>24.8644</v>
      </c>
      <c r="G22" s="518">
        <v>1.6919</v>
      </c>
      <c r="H22" s="519">
        <v>1.6615</v>
      </c>
      <c r="I22" s="519">
        <v>1.6415999999999999</v>
      </c>
      <c r="J22" s="520">
        <v>1.6122000000000001</v>
      </c>
    </row>
    <row r="23" spans="2:10" ht="15" customHeight="1" x14ac:dyDescent="0.25">
      <c r="B23" s="406">
        <v>2036</v>
      </c>
      <c r="C23" s="515">
        <v>26.4892</v>
      </c>
      <c r="D23" s="516">
        <v>26.018899999999999</v>
      </c>
      <c r="E23" s="516">
        <v>25.7133</v>
      </c>
      <c r="F23" s="517">
        <v>25.254799999999999</v>
      </c>
      <c r="G23" s="518">
        <v>1.7323</v>
      </c>
      <c r="H23" s="519">
        <v>1.6960999999999999</v>
      </c>
      <c r="I23" s="519">
        <v>1.6724000000000001</v>
      </c>
      <c r="J23" s="520">
        <v>1.6375999999999999</v>
      </c>
    </row>
    <row r="24" spans="2:10" ht="15" customHeight="1" x14ac:dyDescent="0.25">
      <c r="B24" s="406">
        <v>2037</v>
      </c>
      <c r="C24" s="515">
        <v>27.122299999999999</v>
      </c>
      <c r="D24" s="516">
        <v>26.560099999999998</v>
      </c>
      <c r="E24" s="516">
        <v>26.1967</v>
      </c>
      <c r="F24" s="517">
        <v>25.651299999999999</v>
      </c>
      <c r="G24" s="518">
        <v>1.7737000000000001</v>
      </c>
      <c r="H24" s="519">
        <v>1.7315</v>
      </c>
      <c r="I24" s="519">
        <v>1.7039</v>
      </c>
      <c r="J24" s="520">
        <v>1.6634</v>
      </c>
    </row>
    <row r="25" spans="2:10" ht="15" customHeight="1" x14ac:dyDescent="0.25">
      <c r="B25" s="406">
        <v>2038</v>
      </c>
      <c r="C25" s="515">
        <v>27.770499999999998</v>
      </c>
      <c r="D25" s="516">
        <v>27.115200000000002</v>
      </c>
      <c r="E25" s="516">
        <v>26.6892</v>
      </c>
      <c r="F25" s="517">
        <v>26.0566</v>
      </c>
      <c r="G25" s="518">
        <v>1.8162</v>
      </c>
      <c r="H25" s="519">
        <v>1.7677</v>
      </c>
      <c r="I25" s="519">
        <v>1.736</v>
      </c>
      <c r="J25" s="520">
        <v>1.6897</v>
      </c>
    </row>
    <row r="26" spans="2:10" ht="15" customHeight="1" x14ac:dyDescent="0.25">
      <c r="B26" s="406">
        <v>2039</v>
      </c>
      <c r="C26" s="515">
        <v>28.434200000000001</v>
      </c>
      <c r="D26" s="516">
        <v>27.681899999999999</v>
      </c>
      <c r="E26" s="516">
        <v>27.1936</v>
      </c>
      <c r="F26" s="517">
        <v>26.468299999999999</v>
      </c>
      <c r="G26" s="518">
        <v>1.8596999999999999</v>
      </c>
      <c r="H26" s="519">
        <v>1.8047</v>
      </c>
      <c r="I26" s="519">
        <v>1.7687999999999999</v>
      </c>
      <c r="J26" s="520">
        <v>1.7163999999999999</v>
      </c>
    </row>
    <row r="27" spans="2:10" ht="15" customHeight="1" x14ac:dyDescent="0.25">
      <c r="B27" s="406">
        <v>2040</v>
      </c>
      <c r="C27" s="515">
        <v>29.116599999999998</v>
      </c>
      <c r="D27" s="516">
        <v>28.2605</v>
      </c>
      <c r="E27" s="516">
        <v>27.707599999999999</v>
      </c>
      <c r="F27" s="517">
        <v>26.886500000000002</v>
      </c>
      <c r="G27" s="518">
        <v>1.9043000000000001</v>
      </c>
      <c r="H27" s="519">
        <v>1.8425</v>
      </c>
      <c r="I27" s="519">
        <v>1.8022</v>
      </c>
      <c r="J27" s="520">
        <v>1.7436</v>
      </c>
    </row>
    <row r="28" spans="2:10" ht="15" customHeight="1" x14ac:dyDescent="0.25">
      <c r="B28" s="406">
        <v>2041</v>
      </c>
      <c r="C28" s="515">
        <v>29.8154</v>
      </c>
      <c r="D28" s="516">
        <v>28.851099999999999</v>
      </c>
      <c r="E28" s="516">
        <v>28.231300000000001</v>
      </c>
      <c r="F28" s="517">
        <v>27.311299999999999</v>
      </c>
      <c r="G28" s="518">
        <v>1.95</v>
      </c>
      <c r="H28" s="519">
        <v>1.8811</v>
      </c>
      <c r="I28" s="519">
        <v>1.8363</v>
      </c>
      <c r="J28" s="520">
        <v>1.7712000000000001</v>
      </c>
    </row>
    <row r="29" spans="2:10" ht="15" customHeight="1" x14ac:dyDescent="0.25">
      <c r="B29" s="406">
        <v>2042</v>
      </c>
      <c r="C29" s="515">
        <v>30.530999999999999</v>
      </c>
      <c r="D29" s="516">
        <v>29.4541</v>
      </c>
      <c r="E29" s="516">
        <v>28.764900000000001</v>
      </c>
      <c r="F29" s="517">
        <v>27.7455</v>
      </c>
      <c r="G29" s="518">
        <v>1.9967999999999999</v>
      </c>
      <c r="H29" s="519">
        <v>1.9205000000000001</v>
      </c>
      <c r="I29" s="519">
        <v>1.871</v>
      </c>
      <c r="J29" s="520">
        <v>1.7992999999999999</v>
      </c>
    </row>
    <row r="30" spans="2:10" ht="15" customHeight="1" x14ac:dyDescent="0.25">
      <c r="B30" s="406">
        <v>2043</v>
      </c>
      <c r="C30" s="515">
        <v>31.2637</v>
      </c>
      <c r="D30" s="516">
        <v>30.072600000000001</v>
      </c>
      <c r="E30" s="516">
        <v>29.308599999999998</v>
      </c>
      <c r="F30" s="517">
        <v>28.186699999999998</v>
      </c>
      <c r="G30" s="518">
        <v>2.0448</v>
      </c>
      <c r="H30" s="519">
        <v>1.9608000000000001</v>
      </c>
      <c r="I30" s="519">
        <v>1.9065000000000001</v>
      </c>
      <c r="J30" s="520">
        <v>1.8279000000000001</v>
      </c>
    </row>
    <row r="31" spans="2:10" ht="15" customHeight="1" x14ac:dyDescent="0.25">
      <c r="B31" s="406">
        <v>2044</v>
      </c>
      <c r="C31" s="515">
        <v>32.014000000000003</v>
      </c>
      <c r="D31" s="516">
        <v>30.7041</v>
      </c>
      <c r="E31" s="516">
        <v>29.865500000000001</v>
      </c>
      <c r="F31" s="517">
        <v>28.634899999999998</v>
      </c>
      <c r="G31" s="518">
        <v>2.0939999999999999</v>
      </c>
      <c r="H31" s="519">
        <v>2.0019999999999998</v>
      </c>
      <c r="I31" s="519">
        <v>1.9427000000000001</v>
      </c>
      <c r="J31" s="520">
        <v>1.857</v>
      </c>
    </row>
    <row r="32" spans="2:10" ht="15" customHeight="1" x14ac:dyDescent="0.25">
      <c r="B32" s="406">
        <v>2045</v>
      </c>
      <c r="C32" s="515">
        <v>32.785499999999999</v>
      </c>
      <c r="D32" s="516">
        <v>31.3489</v>
      </c>
      <c r="E32" s="516">
        <v>30.4329</v>
      </c>
      <c r="F32" s="517">
        <v>29.090199999999999</v>
      </c>
      <c r="G32" s="518">
        <v>2.1444000000000001</v>
      </c>
      <c r="H32" s="519">
        <v>2.0440999999999998</v>
      </c>
      <c r="I32" s="519">
        <v>1.9796</v>
      </c>
      <c r="J32" s="520">
        <v>1.8866000000000001</v>
      </c>
    </row>
    <row r="33" spans="2:10" ht="15" customHeight="1" x14ac:dyDescent="0.25">
      <c r="B33" s="406">
        <v>2046</v>
      </c>
      <c r="C33" s="515">
        <v>33.575600000000001</v>
      </c>
      <c r="D33" s="516">
        <v>32.007199999999997</v>
      </c>
      <c r="E33" s="516">
        <v>31.011099999999999</v>
      </c>
      <c r="F33" s="517">
        <v>29.552700000000002</v>
      </c>
      <c r="G33" s="518">
        <v>2.1960999999999999</v>
      </c>
      <c r="H33" s="519">
        <v>2.0871</v>
      </c>
      <c r="I33" s="519">
        <v>2.0173000000000001</v>
      </c>
      <c r="J33" s="520">
        <v>1.9167000000000001</v>
      </c>
    </row>
    <row r="34" spans="2:10" ht="15" customHeight="1" x14ac:dyDescent="0.25">
      <c r="B34" s="406">
        <v>2047</v>
      </c>
      <c r="C34" s="515">
        <v>34.384799999999998</v>
      </c>
      <c r="D34" s="516">
        <v>32.682600000000001</v>
      </c>
      <c r="E34" s="516">
        <v>31.600300000000001</v>
      </c>
      <c r="F34" s="517">
        <v>30.025500000000001</v>
      </c>
      <c r="G34" s="518">
        <v>2.2490999999999999</v>
      </c>
      <c r="H34" s="519">
        <v>2.1311</v>
      </c>
      <c r="I34" s="519">
        <v>2.0556999999999999</v>
      </c>
      <c r="J34" s="520">
        <v>1.9473</v>
      </c>
    </row>
    <row r="35" spans="2:10" ht="15" customHeight="1" x14ac:dyDescent="0.25">
      <c r="B35" s="406">
        <v>2048</v>
      </c>
      <c r="C35" s="515">
        <v>35.213500000000003</v>
      </c>
      <c r="D35" s="516">
        <v>33.372199999999999</v>
      </c>
      <c r="E35" s="516">
        <v>32.200699999999998</v>
      </c>
      <c r="F35" s="517">
        <v>30.5059</v>
      </c>
      <c r="G35" s="518">
        <v>2.3033999999999999</v>
      </c>
      <c r="H35" s="519">
        <v>2.1760999999999999</v>
      </c>
      <c r="I35" s="519">
        <v>2.0949</v>
      </c>
      <c r="J35" s="520">
        <v>1.9784999999999999</v>
      </c>
    </row>
    <row r="36" spans="2:10" ht="15" customHeight="1" x14ac:dyDescent="0.25">
      <c r="B36" s="406">
        <v>2049</v>
      </c>
      <c r="C36" s="515">
        <v>36.062100000000001</v>
      </c>
      <c r="D36" s="516">
        <v>34.0764</v>
      </c>
      <c r="E36" s="516">
        <v>32.8157</v>
      </c>
      <c r="F36" s="517">
        <v>30.994</v>
      </c>
      <c r="G36" s="518">
        <v>2.359</v>
      </c>
      <c r="H36" s="519">
        <v>2.222</v>
      </c>
      <c r="I36" s="519">
        <v>2.1347999999999998</v>
      </c>
      <c r="J36" s="520">
        <v>2.0102000000000002</v>
      </c>
    </row>
    <row r="37" spans="2:10" ht="15" customHeight="1" x14ac:dyDescent="0.25">
      <c r="B37" s="406">
        <v>2050</v>
      </c>
      <c r="C37" s="515">
        <v>36.931199999999997</v>
      </c>
      <c r="D37" s="516">
        <v>34.795400000000001</v>
      </c>
      <c r="E37" s="516">
        <v>33.442500000000003</v>
      </c>
      <c r="F37" s="517">
        <v>31.489899999999999</v>
      </c>
      <c r="G37" s="518">
        <v>2.4159999999999999</v>
      </c>
      <c r="H37" s="519">
        <v>2.2688999999999999</v>
      </c>
      <c r="I37" s="519">
        <v>2.1755</v>
      </c>
      <c r="J37" s="520">
        <v>2.0424000000000002</v>
      </c>
    </row>
    <row r="38" spans="2:10" ht="15" customHeight="1" x14ac:dyDescent="0.25">
      <c r="B38" s="406">
        <v>2051</v>
      </c>
      <c r="C38" s="515">
        <v>37.8249</v>
      </c>
      <c r="D38" s="516">
        <v>35.529600000000002</v>
      </c>
      <c r="E38" s="516">
        <v>34.081299999999999</v>
      </c>
      <c r="F38" s="517">
        <v>31.9937</v>
      </c>
      <c r="G38" s="518">
        <v>2.4744000000000002</v>
      </c>
      <c r="H38" s="519">
        <v>2.3168000000000002</v>
      </c>
      <c r="I38" s="519">
        <v>2.2170000000000001</v>
      </c>
      <c r="J38" s="520">
        <v>2.0750999999999999</v>
      </c>
    </row>
    <row r="39" spans="2:10" ht="15" customHeight="1" x14ac:dyDescent="0.25">
      <c r="B39" s="406">
        <v>2052</v>
      </c>
      <c r="C39" s="515">
        <v>38.740299999999998</v>
      </c>
      <c r="D39" s="516">
        <v>36.279299999999999</v>
      </c>
      <c r="E39" s="516">
        <v>34.732300000000002</v>
      </c>
      <c r="F39" s="517">
        <v>32.505600000000001</v>
      </c>
      <c r="G39" s="518">
        <v>2.5341999999999998</v>
      </c>
      <c r="H39" s="519">
        <v>2.3656999999999999</v>
      </c>
      <c r="I39" s="519">
        <v>2.2593000000000001</v>
      </c>
      <c r="J39" s="520">
        <v>2.1084000000000001</v>
      </c>
    </row>
    <row r="40" spans="2:10" ht="15" customHeight="1" x14ac:dyDescent="0.25">
      <c r="B40" s="406">
        <v>2053</v>
      </c>
      <c r="C40" s="515">
        <v>39.677799999999998</v>
      </c>
      <c r="D40" s="516">
        <v>37.044800000000002</v>
      </c>
      <c r="E40" s="516">
        <v>35.395699999999998</v>
      </c>
      <c r="F40" s="517">
        <v>33.025700000000001</v>
      </c>
      <c r="G40" s="518">
        <v>2.5954999999999999</v>
      </c>
      <c r="H40" s="519">
        <v>2.4157000000000002</v>
      </c>
      <c r="I40" s="519">
        <v>2.3025000000000002</v>
      </c>
      <c r="J40" s="520">
        <v>2.1421999999999999</v>
      </c>
    </row>
    <row r="41" spans="2:10" ht="15" customHeight="1" x14ac:dyDescent="0.25">
      <c r="B41" s="406">
        <v>2054</v>
      </c>
      <c r="C41" s="515">
        <v>40.637999999999998</v>
      </c>
      <c r="D41" s="516">
        <v>37.8264</v>
      </c>
      <c r="E41" s="516">
        <v>36.071800000000003</v>
      </c>
      <c r="F41" s="517">
        <v>33.554099999999998</v>
      </c>
      <c r="G41" s="518">
        <v>2.6583000000000001</v>
      </c>
      <c r="H41" s="519">
        <v>2.4668000000000001</v>
      </c>
      <c r="I41" s="519">
        <v>2.3464999999999998</v>
      </c>
      <c r="J41" s="520">
        <v>2.1766000000000001</v>
      </c>
    </row>
    <row r="42" spans="2:10" ht="15" customHeight="1" x14ac:dyDescent="0.25">
      <c r="B42" s="406">
        <v>2055</v>
      </c>
      <c r="C42" s="515">
        <v>41.621400000000001</v>
      </c>
      <c r="D42" s="516">
        <v>38.624499999999998</v>
      </c>
      <c r="E42" s="516">
        <v>36.760800000000003</v>
      </c>
      <c r="F42" s="517">
        <v>34.094299999999997</v>
      </c>
      <c r="G42" s="518">
        <v>2.7225999999999999</v>
      </c>
      <c r="H42" s="519">
        <v>2.5190000000000001</v>
      </c>
      <c r="I42" s="519">
        <v>2.3913000000000002</v>
      </c>
      <c r="J42" s="520">
        <v>2.2115</v>
      </c>
    </row>
    <row r="43" spans="2:10" ht="15" customHeight="1" x14ac:dyDescent="0.25">
      <c r="B43" s="406">
        <v>2056</v>
      </c>
      <c r="C43" s="515">
        <v>42.628599999999999</v>
      </c>
      <c r="D43" s="516">
        <v>39.439500000000002</v>
      </c>
      <c r="E43" s="516">
        <v>37.462899999999998</v>
      </c>
      <c r="F43" s="517">
        <v>34.6432</v>
      </c>
      <c r="G43" s="518">
        <v>2.7885</v>
      </c>
      <c r="H43" s="519">
        <v>2.5722999999999998</v>
      </c>
      <c r="I43" s="519">
        <v>2.4369999999999998</v>
      </c>
      <c r="J43" s="520">
        <v>2.2469999999999999</v>
      </c>
    </row>
    <row r="44" spans="2:10" ht="15" customHeight="1" x14ac:dyDescent="0.25">
      <c r="B44" s="406">
        <v>2057</v>
      </c>
      <c r="C44" s="515">
        <v>43.660200000000003</v>
      </c>
      <c r="D44" s="516">
        <v>40.275599999999997</v>
      </c>
      <c r="E44" s="516">
        <v>38.178400000000003</v>
      </c>
      <c r="F44" s="517">
        <v>35.201000000000001</v>
      </c>
      <c r="G44" s="518">
        <v>2.8559999999999999</v>
      </c>
      <c r="H44" s="519">
        <v>2.6267</v>
      </c>
      <c r="I44" s="519">
        <v>2.4836</v>
      </c>
      <c r="J44" s="520">
        <v>2.2831000000000001</v>
      </c>
    </row>
    <row r="45" spans="2:10" ht="15" customHeight="1" x14ac:dyDescent="0.25">
      <c r="B45" s="406">
        <v>2058</v>
      </c>
      <c r="C45" s="515">
        <v>44.716799999999999</v>
      </c>
      <c r="D45" s="516">
        <v>41.129399999999997</v>
      </c>
      <c r="E45" s="516">
        <v>38.907600000000002</v>
      </c>
      <c r="F45" s="517">
        <v>35.767699999999998</v>
      </c>
      <c r="G45" s="518">
        <v>2.9251999999999998</v>
      </c>
      <c r="H45" s="519">
        <v>2.6823000000000001</v>
      </c>
      <c r="I45" s="519">
        <v>2.5310999999999999</v>
      </c>
      <c r="J45" s="520">
        <v>2.3197999999999999</v>
      </c>
    </row>
    <row r="46" spans="2:10" ht="15" customHeight="1" x14ac:dyDescent="0.25">
      <c r="B46" s="406">
        <v>2059</v>
      </c>
      <c r="C46" s="515">
        <v>45.798900000000003</v>
      </c>
      <c r="D46" s="516">
        <v>42.001300000000001</v>
      </c>
      <c r="E46" s="516">
        <v>39.650700000000001</v>
      </c>
      <c r="F46" s="517">
        <v>36.343600000000002</v>
      </c>
      <c r="G46" s="518">
        <v>2.996</v>
      </c>
      <c r="H46" s="519">
        <v>2.7391000000000001</v>
      </c>
      <c r="I46" s="519">
        <v>2.5794999999999999</v>
      </c>
      <c r="J46" s="520">
        <v>2.3571</v>
      </c>
    </row>
    <row r="47" spans="2:10" ht="15" customHeight="1" x14ac:dyDescent="0.25">
      <c r="B47" s="406">
        <v>2060</v>
      </c>
      <c r="C47" s="515">
        <v>46.907200000000003</v>
      </c>
      <c r="D47" s="516">
        <v>42.8917</v>
      </c>
      <c r="E47" s="516">
        <v>40.408000000000001</v>
      </c>
      <c r="F47" s="517">
        <v>36.928699999999999</v>
      </c>
      <c r="G47" s="518">
        <v>3.0686</v>
      </c>
      <c r="H47" s="519">
        <v>2.7970999999999999</v>
      </c>
      <c r="I47" s="519">
        <v>2.6288</v>
      </c>
      <c r="J47" s="520">
        <v>2.395</v>
      </c>
    </row>
    <row r="48" spans="2:10" ht="15" customHeight="1" x14ac:dyDescent="0.25">
      <c r="B48" s="406">
        <v>2061</v>
      </c>
      <c r="C48" s="515">
        <v>48.042400000000001</v>
      </c>
      <c r="D48" s="516">
        <v>43.801000000000002</v>
      </c>
      <c r="E48" s="516">
        <v>41.1798</v>
      </c>
      <c r="F48" s="517">
        <v>37.523299999999999</v>
      </c>
      <c r="G48" s="518">
        <v>3.1429</v>
      </c>
      <c r="H48" s="519">
        <v>2.8563000000000001</v>
      </c>
      <c r="I48" s="519">
        <v>2.6791</v>
      </c>
      <c r="J48" s="520">
        <v>2.4335</v>
      </c>
    </row>
    <row r="49" spans="2:10" ht="15" customHeight="1" x14ac:dyDescent="0.25">
      <c r="B49" s="406">
        <v>2062</v>
      </c>
      <c r="C49" s="515">
        <v>49.204999999999998</v>
      </c>
      <c r="D49" s="516">
        <v>44.729599999999998</v>
      </c>
      <c r="E49" s="516">
        <v>41.966299999999997</v>
      </c>
      <c r="F49" s="517">
        <v>38.127400000000002</v>
      </c>
      <c r="G49" s="518">
        <v>3.2191000000000001</v>
      </c>
      <c r="H49" s="519">
        <v>2.9167999999999998</v>
      </c>
      <c r="I49" s="519">
        <v>2.7303999999999999</v>
      </c>
      <c r="J49" s="520">
        <v>2.4727000000000001</v>
      </c>
    </row>
    <row r="50" spans="2:10" ht="15" customHeight="1" x14ac:dyDescent="0.25">
      <c r="B50" s="406">
        <v>2063</v>
      </c>
      <c r="C50" s="515">
        <v>50.395800000000001</v>
      </c>
      <c r="D50" s="516">
        <v>45.677900000000001</v>
      </c>
      <c r="E50" s="516">
        <v>42.772100000000002</v>
      </c>
      <c r="F50" s="517">
        <v>38.741300000000003</v>
      </c>
      <c r="G50" s="518">
        <v>3.2970999999999999</v>
      </c>
      <c r="H50" s="519">
        <v>2.9786000000000001</v>
      </c>
      <c r="I50" s="519">
        <v>2.7827000000000002</v>
      </c>
      <c r="J50" s="520">
        <v>2.5125000000000002</v>
      </c>
    </row>
    <row r="51" spans="2:10" ht="15" customHeight="1" x14ac:dyDescent="0.25">
      <c r="B51" s="406">
        <v>2064</v>
      </c>
      <c r="C51" s="515">
        <v>51.615400000000001</v>
      </c>
      <c r="D51" s="516">
        <v>46.646299999999997</v>
      </c>
      <c r="E51" s="516">
        <v>43.593299999999999</v>
      </c>
      <c r="F51" s="517">
        <v>39.365000000000002</v>
      </c>
      <c r="G51" s="518">
        <v>3.3769999999999998</v>
      </c>
      <c r="H51" s="519">
        <v>3.0417000000000001</v>
      </c>
      <c r="I51" s="519">
        <v>2.8359999999999999</v>
      </c>
      <c r="J51" s="520">
        <v>2.5529999999999999</v>
      </c>
    </row>
    <row r="52" spans="2:10" ht="15" customHeight="1" x14ac:dyDescent="0.25">
      <c r="B52" s="406">
        <v>2065</v>
      </c>
      <c r="C52" s="515">
        <v>52.8645</v>
      </c>
      <c r="D52" s="516">
        <v>47.635199999999998</v>
      </c>
      <c r="E52" s="516">
        <v>44.430300000000003</v>
      </c>
      <c r="F52" s="517">
        <v>39.998800000000003</v>
      </c>
      <c r="G52" s="518">
        <v>3.4588999999999999</v>
      </c>
      <c r="H52" s="519">
        <v>3.1061999999999999</v>
      </c>
      <c r="I52" s="519">
        <v>2.8902999999999999</v>
      </c>
      <c r="J52" s="520">
        <v>2.5941000000000001</v>
      </c>
    </row>
    <row r="53" spans="2:10" ht="15" customHeight="1" x14ac:dyDescent="0.25">
      <c r="B53" s="406">
        <v>2066</v>
      </c>
      <c r="C53" s="515">
        <v>54.143799999999999</v>
      </c>
      <c r="D53" s="516">
        <v>48.645099999999999</v>
      </c>
      <c r="E53" s="516">
        <v>45.2834</v>
      </c>
      <c r="F53" s="517">
        <v>40.642800000000001</v>
      </c>
      <c r="G53" s="518">
        <v>3.5428000000000002</v>
      </c>
      <c r="H53" s="519">
        <v>3.1720000000000002</v>
      </c>
      <c r="I53" s="519">
        <v>2.9457</v>
      </c>
      <c r="J53" s="520">
        <v>2.6358999999999999</v>
      </c>
    </row>
    <row r="54" spans="2:10" ht="15" customHeight="1" x14ac:dyDescent="0.25">
      <c r="B54" s="406">
        <v>2067</v>
      </c>
      <c r="C54" s="515">
        <v>55.454099999999997</v>
      </c>
      <c r="D54" s="516">
        <v>49.676400000000001</v>
      </c>
      <c r="E54" s="516">
        <v>46.152799999999999</v>
      </c>
      <c r="F54" s="517">
        <v>41.2971</v>
      </c>
      <c r="G54" s="518">
        <v>3.6286999999999998</v>
      </c>
      <c r="H54" s="519">
        <v>3.2391999999999999</v>
      </c>
      <c r="I54" s="519">
        <v>3.0021</v>
      </c>
      <c r="J54" s="520">
        <v>2.6783000000000001</v>
      </c>
    </row>
    <row r="55" spans="2:10" ht="15" customHeight="1" x14ac:dyDescent="0.25">
      <c r="B55" s="406">
        <v>2068</v>
      </c>
      <c r="C55" s="515">
        <v>56.796100000000003</v>
      </c>
      <c r="D55" s="516">
        <v>50.729500000000002</v>
      </c>
      <c r="E55" s="516">
        <v>47.038899999999998</v>
      </c>
      <c r="F55" s="517">
        <v>41.962000000000003</v>
      </c>
      <c r="G55" s="518">
        <v>3.7166999999999999</v>
      </c>
      <c r="H55" s="519">
        <v>3.3077999999999999</v>
      </c>
      <c r="I55" s="519">
        <v>3.0596000000000001</v>
      </c>
      <c r="J55" s="520">
        <v>2.7214</v>
      </c>
    </row>
    <row r="56" spans="2:10" ht="15" customHeight="1" x14ac:dyDescent="0.25">
      <c r="B56" s="406">
        <v>2069</v>
      </c>
      <c r="C56" s="515">
        <v>58.1706</v>
      </c>
      <c r="D56" s="516">
        <v>51.805</v>
      </c>
      <c r="E56" s="516">
        <v>47.942</v>
      </c>
      <c r="F56" s="517">
        <v>42.637599999999999</v>
      </c>
      <c r="G56" s="518">
        <v>3.8068</v>
      </c>
      <c r="H56" s="519">
        <v>3.3778999999999999</v>
      </c>
      <c r="I56" s="519">
        <v>3.1181999999999999</v>
      </c>
      <c r="J56" s="520">
        <v>2.7652000000000001</v>
      </c>
    </row>
    <row r="57" spans="2:10" ht="15" customHeight="1" thickBot="1" x14ac:dyDescent="0.3">
      <c r="B57" s="413">
        <v>2070</v>
      </c>
      <c r="C57" s="521">
        <v>59.578299999999999</v>
      </c>
      <c r="D57" s="522">
        <v>52.903300000000002</v>
      </c>
      <c r="E57" s="522">
        <v>48.862499999999997</v>
      </c>
      <c r="F57" s="523">
        <v>43.324100000000001</v>
      </c>
      <c r="G57" s="524">
        <v>3.899</v>
      </c>
      <c r="H57" s="525">
        <v>3.4493999999999998</v>
      </c>
      <c r="I57" s="525">
        <v>3.1779000000000002</v>
      </c>
      <c r="J57" s="526">
        <v>2.8096999999999999</v>
      </c>
    </row>
    <row r="58" spans="2:10" x14ac:dyDescent="0.25">
      <c r="B58" s="493"/>
      <c r="C58" s="527"/>
      <c r="D58" s="527"/>
      <c r="E58" s="527"/>
      <c r="F58" s="527"/>
    </row>
    <row r="59" spans="2:10" x14ac:dyDescent="0.25">
      <c r="B59" s="493" t="s">
        <v>333</v>
      </c>
      <c r="C59" s="372">
        <v>0</v>
      </c>
      <c r="D59" s="372">
        <v>0</v>
      </c>
      <c r="E59" s="372">
        <v>0</v>
      </c>
      <c r="F59" s="372">
        <v>0</v>
      </c>
      <c r="G59" s="372">
        <v>1.1599999999999999E-2</v>
      </c>
      <c r="H59" s="372">
        <v>1.1599999999999999E-2</v>
      </c>
      <c r="I59" s="372">
        <v>1.1599999999999999E-2</v>
      </c>
      <c r="J59" s="372">
        <v>1.1599999999999999E-2</v>
      </c>
    </row>
    <row r="60" spans="2:10" x14ac:dyDescent="0.25">
      <c r="B60" s="493"/>
      <c r="C60" s="372">
        <v>1.1599999999999999E-2</v>
      </c>
      <c r="D60" s="372">
        <v>1.1599999999999999E-2</v>
      </c>
      <c r="E60" s="372">
        <v>1.1599999999999999E-2</v>
      </c>
      <c r="F60" s="372">
        <v>1.1599999999999999E-2</v>
      </c>
      <c r="G60" s="372">
        <v>1.1599999999999999E-2</v>
      </c>
      <c r="H60" s="372">
        <v>1.1599999999999999E-2</v>
      </c>
      <c r="I60" s="372">
        <v>1.1599999999999999E-2</v>
      </c>
      <c r="J60" s="372">
        <v>1.1599999999999999E-2</v>
      </c>
    </row>
    <row r="61" spans="2:10" x14ac:dyDescent="0.25">
      <c r="B61" s="493"/>
      <c r="C61" s="371" t="s">
        <v>334</v>
      </c>
      <c r="G61" s="371" t="s">
        <v>334</v>
      </c>
    </row>
    <row r="62" spans="2:10" x14ac:dyDescent="0.25">
      <c r="B62" s="493"/>
      <c r="C62" s="528" t="s">
        <v>335</v>
      </c>
      <c r="D62" s="528"/>
      <c r="E62" s="528"/>
      <c r="F62" s="528"/>
      <c r="G62" s="528" t="s">
        <v>336</v>
      </c>
      <c r="H62" s="528"/>
      <c r="I62" s="528"/>
      <c r="J62" s="528"/>
    </row>
    <row r="63" spans="2:10" x14ac:dyDescent="0.25">
      <c r="B63" s="493"/>
      <c r="C63" s="529" t="s">
        <v>337</v>
      </c>
      <c r="D63" s="529"/>
      <c r="E63" s="529"/>
      <c r="F63" s="529"/>
      <c r="G63" s="529" t="s">
        <v>338</v>
      </c>
      <c r="H63" s="529"/>
      <c r="I63" s="529"/>
      <c r="J63" s="529"/>
    </row>
    <row r="64" spans="2:10" x14ac:dyDescent="0.25">
      <c r="B64" s="493"/>
      <c r="C64" s="372" t="s">
        <v>339</v>
      </c>
      <c r="G64" s="372" t="s">
        <v>340</v>
      </c>
    </row>
    <row r="65" spans="2:10" x14ac:dyDescent="0.25">
      <c r="B65" s="493"/>
      <c r="C65" s="371" t="s">
        <v>341</v>
      </c>
      <c r="G65" s="371" t="s">
        <v>341</v>
      </c>
    </row>
    <row r="66" spans="2:10" x14ac:dyDescent="0.25">
      <c r="B66" s="493"/>
      <c r="C66" s="818" t="s">
        <v>342</v>
      </c>
      <c r="D66" s="818"/>
      <c r="E66" s="818"/>
      <c r="F66" s="818"/>
      <c r="G66" s="819" t="s">
        <v>343</v>
      </c>
      <c r="H66" s="820"/>
      <c r="I66" s="820"/>
      <c r="J66" s="820"/>
    </row>
    <row r="67" spans="2:10" ht="31.5" customHeight="1" x14ac:dyDescent="0.25">
      <c r="B67" s="493"/>
      <c r="C67" s="818" t="s">
        <v>344</v>
      </c>
      <c r="D67" s="818"/>
      <c r="E67" s="818"/>
      <c r="F67" s="818"/>
    </row>
    <row r="68" spans="2:10" x14ac:dyDescent="0.25">
      <c r="B68" s="493"/>
    </row>
    <row r="69" spans="2:10" x14ac:dyDescent="0.25">
      <c r="B69" s="493"/>
    </row>
    <row r="70" spans="2:10" x14ac:dyDescent="0.25">
      <c r="B70" s="493"/>
    </row>
    <row r="71" spans="2:10" x14ac:dyDescent="0.25">
      <c r="B71" s="493"/>
    </row>
    <row r="72" spans="2:10" x14ac:dyDescent="0.25">
      <c r="B72" s="493"/>
    </row>
  </sheetData>
  <mergeCells count="6">
    <mergeCell ref="C67:F67"/>
    <mergeCell ref="B4:B5"/>
    <mergeCell ref="C4:F4"/>
    <mergeCell ref="G4:J4"/>
    <mergeCell ref="C66:F66"/>
    <mergeCell ref="G66:J6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N157"/>
  <sheetViews>
    <sheetView workbookViewId="0">
      <selection activeCell="A22" sqref="A1:XFD1048576"/>
    </sheetView>
  </sheetViews>
  <sheetFormatPr baseColWidth="10" defaultColWidth="10.85546875" defaultRowHeight="15" x14ac:dyDescent="0.25"/>
  <cols>
    <col min="1" max="1" width="3" style="531" customWidth="1"/>
    <col min="2" max="2" width="10.85546875" style="531"/>
    <col min="3" max="14" width="13.5703125" style="531" customWidth="1"/>
    <col min="15" max="16384" width="10.85546875" style="531"/>
  </cols>
  <sheetData>
    <row r="1" spans="2:14" ht="23.25" x14ac:dyDescent="0.35">
      <c r="B1" s="530" t="s">
        <v>345</v>
      </c>
      <c r="C1" s="530"/>
      <c r="D1" s="530"/>
      <c r="E1" s="530"/>
      <c r="F1" s="530"/>
      <c r="G1" s="530"/>
      <c r="H1" s="530"/>
      <c r="I1" s="530"/>
      <c r="J1" s="530"/>
    </row>
    <row r="2" spans="2:14" ht="15" customHeight="1" x14ac:dyDescent="0.35">
      <c r="B2" s="532" t="s">
        <v>346</v>
      </c>
      <c r="C2" s="530"/>
      <c r="D2" s="530"/>
      <c r="E2" s="530"/>
      <c r="F2" s="530"/>
      <c r="G2" s="530"/>
      <c r="H2" s="530"/>
      <c r="I2" s="530"/>
      <c r="J2" s="530"/>
    </row>
    <row r="3" spans="2:14" ht="15.75" thickBot="1" x14ac:dyDescent="0.3"/>
    <row r="4" spans="2:14" s="533" customFormat="1" ht="21.75" customHeight="1" x14ac:dyDescent="0.25">
      <c r="B4" s="821" t="s">
        <v>10</v>
      </c>
      <c r="C4" s="823" t="s">
        <v>347</v>
      </c>
      <c r="D4" s="824"/>
      <c r="E4" s="824"/>
      <c r="F4" s="825"/>
      <c r="G4" s="826" t="s">
        <v>314</v>
      </c>
      <c r="H4" s="827"/>
      <c r="I4" s="827"/>
      <c r="J4" s="828"/>
      <c r="K4" s="826" t="s">
        <v>325</v>
      </c>
      <c r="L4" s="827"/>
      <c r="M4" s="827"/>
      <c r="N4" s="829"/>
    </row>
    <row r="5" spans="2:14" s="533" customFormat="1" ht="36" customHeight="1" thickBot="1" x14ac:dyDescent="0.3">
      <c r="B5" s="822"/>
      <c r="C5" s="534" t="s">
        <v>316</v>
      </c>
      <c r="D5" s="535" t="s">
        <v>317</v>
      </c>
      <c r="E5" s="536" t="s">
        <v>348</v>
      </c>
      <c r="F5" s="537" t="s">
        <v>319</v>
      </c>
      <c r="G5" s="534" t="s">
        <v>316</v>
      </c>
      <c r="H5" s="538" t="s">
        <v>317</v>
      </c>
      <c r="I5" s="539" t="s">
        <v>348</v>
      </c>
      <c r="J5" s="540" t="s">
        <v>319</v>
      </c>
      <c r="K5" s="541" t="s">
        <v>316</v>
      </c>
      <c r="L5" s="538" t="s">
        <v>317</v>
      </c>
      <c r="M5" s="539" t="s">
        <v>348</v>
      </c>
      <c r="N5" s="542" t="s">
        <v>319</v>
      </c>
    </row>
    <row r="6" spans="2:14" x14ac:dyDescent="0.25">
      <c r="B6" s="543">
        <v>1949</v>
      </c>
      <c r="C6" s="544">
        <v>423.19604015498487</v>
      </c>
      <c r="D6" s="545">
        <v>423.19604015498487</v>
      </c>
      <c r="E6" s="545">
        <v>423.19604015498487</v>
      </c>
      <c r="F6" s="546">
        <v>423.19604015498487</v>
      </c>
      <c r="G6" s="547"/>
      <c r="H6" s="548"/>
      <c r="I6" s="548"/>
      <c r="J6" s="549"/>
      <c r="K6" s="550"/>
      <c r="L6" s="551"/>
      <c r="M6" s="551"/>
      <c r="N6" s="552"/>
    </row>
    <row r="7" spans="2:14" x14ac:dyDescent="0.25">
      <c r="B7" s="553">
        <v>1950</v>
      </c>
      <c r="C7" s="554">
        <v>479.22678796222669</v>
      </c>
      <c r="D7" s="555">
        <v>479.22678796222669</v>
      </c>
      <c r="E7" s="555">
        <v>479.22678796222669</v>
      </c>
      <c r="F7" s="556">
        <v>479.22678796222669</v>
      </c>
      <c r="G7" s="557">
        <v>0.13239903612217629</v>
      </c>
      <c r="H7" s="558">
        <v>0.13239903612217629</v>
      </c>
      <c r="I7" s="558">
        <v>0.13239903612217629</v>
      </c>
      <c r="J7" s="559">
        <v>0.13239903612217629</v>
      </c>
      <c r="K7" s="560">
        <v>2.888906938340341E-2</v>
      </c>
      <c r="L7" s="558">
        <v>2.888906938340341E-2</v>
      </c>
      <c r="M7" s="558">
        <v>2.888906938340341E-2</v>
      </c>
      <c r="N7" s="561">
        <v>2.888906938340341E-2</v>
      </c>
    </row>
    <row r="8" spans="2:14" ht="15" customHeight="1" x14ac:dyDescent="0.25">
      <c r="B8" s="553">
        <v>1951</v>
      </c>
      <c r="C8" s="554">
        <v>593.0769442797756</v>
      </c>
      <c r="D8" s="555">
        <v>593.0769442797756</v>
      </c>
      <c r="E8" s="555">
        <v>593.0769442797756</v>
      </c>
      <c r="F8" s="556">
        <v>593.0769442797756</v>
      </c>
      <c r="G8" s="557">
        <v>0.23757051812913832</v>
      </c>
      <c r="H8" s="558">
        <v>0.23757051812913832</v>
      </c>
      <c r="I8" s="558">
        <v>0.23757051812913832</v>
      </c>
      <c r="J8" s="559">
        <v>0.23757051812913832</v>
      </c>
      <c r="K8" s="560">
        <v>6.606468254588771E-2</v>
      </c>
      <c r="L8" s="558">
        <v>6.606468254588771E-2</v>
      </c>
      <c r="M8" s="558">
        <v>6.606468254588771E-2</v>
      </c>
      <c r="N8" s="561">
        <v>6.606468254588771E-2</v>
      </c>
    </row>
    <row r="9" spans="2:14" x14ac:dyDescent="0.25">
      <c r="B9" s="553">
        <v>1952</v>
      </c>
      <c r="C9" s="554">
        <v>693.67543564009964</v>
      </c>
      <c r="D9" s="555">
        <v>693.67543564009964</v>
      </c>
      <c r="E9" s="555">
        <v>693.67543564009964</v>
      </c>
      <c r="F9" s="556">
        <v>693.67543564009964</v>
      </c>
      <c r="G9" s="557">
        <v>0.16962131529575708</v>
      </c>
      <c r="H9" s="558">
        <v>0.16962131529575708</v>
      </c>
      <c r="I9" s="558">
        <v>0.16962131529575708</v>
      </c>
      <c r="J9" s="559">
        <v>0.16962131529575708</v>
      </c>
      <c r="K9" s="560">
        <v>4.4598502409009644E-2</v>
      </c>
      <c r="L9" s="558">
        <v>4.4598502409009644E-2</v>
      </c>
      <c r="M9" s="558">
        <v>4.4598502409009644E-2</v>
      </c>
      <c r="N9" s="561">
        <v>4.4598502409009644E-2</v>
      </c>
    </row>
    <row r="10" spans="2:14" x14ac:dyDescent="0.25">
      <c r="B10" s="553">
        <v>1953</v>
      </c>
      <c r="C10" s="554">
        <v>711.29344181324313</v>
      </c>
      <c r="D10" s="555">
        <v>711.29344181324313</v>
      </c>
      <c r="E10" s="555">
        <v>711.29344181324313</v>
      </c>
      <c r="F10" s="556">
        <v>711.29344181324313</v>
      </c>
      <c r="G10" s="557">
        <v>2.5398054000407511E-2</v>
      </c>
      <c r="H10" s="558">
        <v>2.5398054000407511E-2</v>
      </c>
      <c r="I10" s="558">
        <v>2.5398054000407511E-2</v>
      </c>
      <c r="J10" s="559">
        <v>2.5398054000407511E-2</v>
      </c>
      <c r="K10" s="560">
        <v>4.3001454069083955E-2</v>
      </c>
      <c r="L10" s="558">
        <v>4.3001454069083955E-2</v>
      </c>
      <c r="M10" s="558">
        <v>4.3001454069083955E-2</v>
      </c>
      <c r="N10" s="561">
        <v>4.3001454069083955E-2</v>
      </c>
    </row>
    <row r="11" spans="2:14" x14ac:dyDescent="0.25">
      <c r="B11" s="553">
        <v>1954</v>
      </c>
      <c r="C11" s="554">
        <v>755.25291899791455</v>
      </c>
      <c r="D11" s="555">
        <v>755.25291899791455</v>
      </c>
      <c r="E11" s="555">
        <v>755.25291899791455</v>
      </c>
      <c r="F11" s="556">
        <v>755.25291899791455</v>
      </c>
      <c r="G11" s="557">
        <v>6.1802168557338444E-2</v>
      </c>
      <c r="H11" s="558">
        <v>6.1802168557338444E-2</v>
      </c>
      <c r="I11" s="558">
        <v>6.1802168557338444E-2</v>
      </c>
      <c r="J11" s="559">
        <v>6.1802168557338444E-2</v>
      </c>
      <c r="K11" s="560">
        <v>5.7264552452392703E-2</v>
      </c>
      <c r="L11" s="558">
        <v>5.7264552452392703E-2</v>
      </c>
      <c r="M11" s="558">
        <v>5.7264552452392703E-2</v>
      </c>
      <c r="N11" s="561">
        <v>5.7264552452392703E-2</v>
      </c>
    </row>
    <row r="12" spans="2:14" x14ac:dyDescent="0.25">
      <c r="B12" s="553">
        <v>1955</v>
      </c>
      <c r="C12" s="554">
        <v>801.48552918184009</v>
      </c>
      <c r="D12" s="555">
        <v>801.48552918184009</v>
      </c>
      <c r="E12" s="555">
        <v>801.48552918184009</v>
      </c>
      <c r="F12" s="556">
        <v>801.48552918184009</v>
      </c>
      <c r="G12" s="557">
        <v>6.1214738825859705E-2</v>
      </c>
      <c r="H12" s="558">
        <v>6.1214738825859705E-2</v>
      </c>
      <c r="I12" s="558">
        <v>6.1214738825859705E-2</v>
      </c>
      <c r="J12" s="559">
        <v>6.1214738825859705E-2</v>
      </c>
      <c r="K12" s="560">
        <v>5.0737301348030117E-2</v>
      </c>
      <c r="L12" s="558">
        <v>5.0737301348030117E-2</v>
      </c>
      <c r="M12" s="558">
        <v>5.0737301348030117E-2</v>
      </c>
      <c r="N12" s="561">
        <v>5.0737301348030117E-2</v>
      </c>
    </row>
    <row r="13" spans="2:14" x14ac:dyDescent="0.25">
      <c r="B13" s="553">
        <v>1956</v>
      </c>
      <c r="C13" s="554">
        <v>867.51132749470844</v>
      </c>
      <c r="D13" s="555">
        <v>867.51132749470844</v>
      </c>
      <c r="E13" s="555">
        <v>867.51132749470844</v>
      </c>
      <c r="F13" s="556">
        <v>867.51132749470844</v>
      </c>
      <c r="G13" s="557">
        <v>8.2379276866380469E-2</v>
      </c>
      <c r="H13" s="558">
        <v>8.2379276866380469E-2</v>
      </c>
      <c r="I13" s="558">
        <v>8.2379276866380469E-2</v>
      </c>
      <c r="J13" s="559">
        <v>8.2379276866380469E-2</v>
      </c>
      <c r="K13" s="560">
        <v>3.9846757856726089E-2</v>
      </c>
      <c r="L13" s="558">
        <v>3.9846757856726089E-2</v>
      </c>
      <c r="M13" s="558">
        <v>3.9846757856726089E-2</v>
      </c>
      <c r="N13" s="561">
        <v>3.9846757856726089E-2</v>
      </c>
    </row>
    <row r="14" spans="2:14" x14ac:dyDescent="0.25">
      <c r="B14" s="553">
        <v>1957</v>
      </c>
      <c r="C14" s="554">
        <v>966.28635822648982</v>
      </c>
      <c r="D14" s="555">
        <v>966.28635822648982</v>
      </c>
      <c r="E14" s="555">
        <v>966.28635822648982</v>
      </c>
      <c r="F14" s="556">
        <v>966.28635822648982</v>
      </c>
      <c r="G14" s="557">
        <v>0.11386022015070907</v>
      </c>
      <c r="H14" s="558">
        <v>0.11386022015070907</v>
      </c>
      <c r="I14" s="558">
        <v>0.11386022015070907</v>
      </c>
      <c r="J14" s="559">
        <v>0.11386022015070907</v>
      </c>
      <c r="K14" s="560">
        <v>8.0195588004235541E-2</v>
      </c>
      <c r="L14" s="558">
        <v>8.0195588004235541E-2</v>
      </c>
      <c r="M14" s="558">
        <v>8.0195588004235541E-2</v>
      </c>
      <c r="N14" s="561">
        <v>8.0195588004235541E-2</v>
      </c>
    </row>
    <row r="15" spans="2:14" x14ac:dyDescent="0.25">
      <c r="B15" s="553">
        <v>1958</v>
      </c>
      <c r="C15" s="554">
        <v>1111.7841346876673</v>
      </c>
      <c r="D15" s="555">
        <v>1111.7841346876673</v>
      </c>
      <c r="E15" s="555">
        <v>1111.7841346876673</v>
      </c>
      <c r="F15" s="556">
        <v>1111.7841346876673</v>
      </c>
      <c r="G15" s="557">
        <v>0.15057418044090198</v>
      </c>
      <c r="H15" s="558">
        <v>0.15057418044090198</v>
      </c>
      <c r="I15" s="558">
        <v>0.15057418044090198</v>
      </c>
      <c r="J15" s="559">
        <v>0.15057418044090198</v>
      </c>
      <c r="K15" s="560">
        <v>6.708015034586623E-4</v>
      </c>
      <c r="L15" s="558">
        <v>6.708015034586623E-4</v>
      </c>
      <c r="M15" s="558">
        <v>6.708015034586623E-4</v>
      </c>
      <c r="N15" s="561">
        <v>6.708015034586623E-4</v>
      </c>
    </row>
    <row r="16" spans="2:14" x14ac:dyDescent="0.25">
      <c r="B16" s="553">
        <v>1959</v>
      </c>
      <c r="C16" s="554">
        <v>1187.6740642583554</v>
      </c>
      <c r="D16" s="555">
        <v>1187.6740642583554</v>
      </c>
      <c r="E16" s="555">
        <v>1187.6740642583554</v>
      </c>
      <c r="F16" s="556">
        <v>1187.6740642583554</v>
      </c>
      <c r="G16" s="557">
        <v>6.8259590331362086E-2</v>
      </c>
      <c r="H16" s="558">
        <v>6.8259590331362086E-2</v>
      </c>
      <c r="I16" s="558">
        <v>6.8259590331362086E-2</v>
      </c>
      <c r="J16" s="559">
        <v>6.8259590331362086E-2</v>
      </c>
      <c r="K16" s="560">
        <v>6.1648455758254173E-3</v>
      </c>
      <c r="L16" s="558">
        <v>6.1648455758254173E-3</v>
      </c>
      <c r="M16" s="558">
        <v>6.1648455758254173E-3</v>
      </c>
      <c r="N16" s="561">
        <v>6.1648455758254173E-3</v>
      </c>
    </row>
    <row r="17" spans="2:14" x14ac:dyDescent="0.25">
      <c r="B17" s="553">
        <v>1960</v>
      </c>
      <c r="C17" s="554">
        <v>1305.7443221033118</v>
      </c>
      <c r="D17" s="555">
        <v>1305.7443221033118</v>
      </c>
      <c r="E17" s="555">
        <v>1305.7443221033118</v>
      </c>
      <c r="F17" s="556">
        <v>1305.7443221033118</v>
      </c>
      <c r="G17" s="557">
        <v>9.9413013551563401E-2</v>
      </c>
      <c r="H17" s="558">
        <v>9.9413013551563401E-2</v>
      </c>
      <c r="I17" s="558">
        <v>9.9413013551563401E-2</v>
      </c>
      <c r="J17" s="559">
        <v>9.9413013551563401E-2</v>
      </c>
      <c r="K17" s="560">
        <v>6.0596770082453011E-2</v>
      </c>
      <c r="L17" s="558">
        <v>6.0596770082453011E-2</v>
      </c>
      <c r="M17" s="558">
        <v>6.0596770082453011E-2</v>
      </c>
      <c r="N17" s="561">
        <v>6.0596770082453011E-2</v>
      </c>
    </row>
    <row r="18" spans="2:14" x14ac:dyDescent="0.25">
      <c r="B18" s="553">
        <v>1961</v>
      </c>
      <c r="C18" s="554">
        <v>1400.3447256027798</v>
      </c>
      <c r="D18" s="555">
        <v>1400.3447256027798</v>
      </c>
      <c r="E18" s="555">
        <v>1400.3447256027798</v>
      </c>
      <c r="F18" s="556">
        <v>1400.3447256027798</v>
      </c>
      <c r="G18" s="557">
        <v>7.2449408278555172E-2</v>
      </c>
      <c r="H18" s="558">
        <v>7.2449408278555172E-2</v>
      </c>
      <c r="I18" s="558">
        <v>7.2449408278555172E-2</v>
      </c>
      <c r="J18" s="559">
        <v>7.2449408278555172E-2</v>
      </c>
      <c r="K18" s="560">
        <v>3.7958573037436105E-2</v>
      </c>
      <c r="L18" s="558">
        <v>3.7958573037436105E-2</v>
      </c>
      <c r="M18" s="558">
        <v>3.7958573037436105E-2</v>
      </c>
      <c r="N18" s="561">
        <v>3.7958573037436105E-2</v>
      </c>
    </row>
    <row r="19" spans="2:14" x14ac:dyDescent="0.25">
      <c r="B19" s="553">
        <v>1962</v>
      </c>
      <c r="C19" s="554">
        <v>1588.1014007121616</v>
      </c>
      <c r="D19" s="555">
        <v>1588.1014007121616</v>
      </c>
      <c r="E19" s="555">
        <v>1588.1014007121616</v>
      </c>
      <c r="F19" s="556">
        <v>1588.1014007121616</v>
      </c>
      <c r="G19" s="557">
        <v>0.13407889620076352</v>
      </c>
      <c r="H19" s="558">
        <v>0.13407889620076352</v>
      </c>
      <c r="I19" s="558">
        <v>0.13407889620076352</v>
      </c>
      <c r="J19" s="559">
        <v>0.13407889620076352</v>
      </c>
      <c r="K19" s="560">
        <v>8.2925625450824825E-2</v>
      </c>
      <c r="L19" s="558">
        <v>8.2925625450824825E-2</v>
      </c>
      <c r="M19" s="558">
        <v>8.2925625450824825E-2</v>
      </c>
      <c r="N19" s="561">
        <v>8.2925625450824825E-2</v>
      </c>
    </row>
    <row r="20" spans="2:14" x14ac:dyDescent="0.25">
      <c r="B20" s="553">
        <v>1963</v>
      </c>
      <c r="C20" s="554">
        <v>1747.3185271949785</v>
      </c>
      <c r="D20" s="555">
        <v>1747.3185271949785</v>
      </c>
      <c r="E20" s="555">
        <v>1747.3185271949785</v>
      </c>
      <c r="F20" s="556">
        <v>1747.3185271949785</v>
      </c>
      <c r="G20" s="557">
        <v>0.10025627230819034</v>
      </c>
      <c r="H20" s="558">
        <v>0.10025627230819034</v>
      </c>
      <c r="I20" s="558">
        <v>0.10025627230819034</v>
      </c>
      <c r="J20" s="559">
        <v>0.10025627230819034</v>
      </c>
      <c r="K20" s="560">
        <v>4.9878237861844532E-2</v>
      </c>
      <c r="L20" s="558">
        <v>4.9878237861844532E-2</v>
      </c>
      <c r="M20" s="558">
        <v>4.9878237861844532E-2</v>
      </c>
      <c r="N20" s="561">
        <v>4.9878237861844532E-2</v>
      </c>
    </row>
    <row r="21" spans="2:14" x14ac:dyDescent="0.25">
      <c r="B21" s="553">
        <v>1964</v>
      </c>
      <c r="C21" s="554">
        <v>1883.8499322257469</v>
      </c>
      <c r="D21" s="555">
        <v>1883.8499322257469</v>
      </c>
      <c r="E21" s="555">
        <v>1883.8499322257469</v>
      </c>
      <c r="F21" s="556">
        <v>1883.8499322257469</v>
      </c>
      <c r="G21" s="557">
        <v>7.8137673758857273E-2</v>
      </c>
      <c r="H21" s="558">
        <v>7.8137673758857273E-2</v>
      </c>
      <c r="I21" s="558">
        <v>7.8137673758857273E-2</v>
      </c>
      <c r="J21" s="559">
        <v>7.8137673758857273E-2</v>
      </c>
      <c r="K21" s="560">
        <v>4.1881716588205498E-2</v>
      </c>
      <c r="L21" s="558">
        <v>4.1881716588205498E-2</v>
      </c>
      <c r="M21" s="558">
        <v>4.1881716588205498E-2</v>
      </c>
      <c r="N21" s="561">
        <v>4.1881716588205498E-2</v>
      </c>
    </row>
    <row r="22" spans="2:14" x14ac:dyDescent="0.25">
      <c r="B22" s="553">
        <v>1965</v>
      </c>
      <c r="C22" s="554">
        <v>2006.823444779016</v>
      </c>
      <c r="D22" s="555">
        <v>2006.823444779016</v>
      </c>
      <c r="E22" s="555">
        <v>2006.823444779016</v>
      </c>
      <c r="F22" s="556">
        <v>2006.823444779016</v>
      </c>
      <c r="G22" s="557">
        <v>6.5277764672039051E-2</v>
      </c>
      <c r="H22" s="558">
        <v>6.5277764672039051E-2</v>
      </c>
      <c r="I22" s="558">
        <v>6.5277764672039051E-2</v>
      </c>
      <c r="J22" s="559">
        <v>6.5277764672039051E-2</v>
      </c>
      <c r="K22" s="560">
        <v>3.9519753091022514E-2</v>
      </c>
      <c r="L22" s="558">
        <v>3.9519753091022514E-2</v>
      </c>
      <c r="M22" s="558">
        <v>3.9519753091022514E-2</v>
      </c>
      <c r="N22" s="561">
        <v>3.9519753091022514E-2</v>
      </c>
    </row>
    <row r="23" spans="2:14" x14ac:dyDescent="0.25">
      <c r="B23" s="553">
        <v>1966</v>
      </c>
      <c r="C23" s="554">
        <v>2146.6042400590704</v>
      </c>
      <c r="D23" s="555">
        <v>2146.6042400590704</v>
      </c>
      <c r="E23" s="555">
        <v>2146.6042400590704</v>
      </c>
      <c r="F23" s="556">
        <v>2146.6042400590704</v>
      </c>
      <c r="G23" s="557">
        <v>6.9652761753262515E-2</v>
      </c>
      <c r="H23" s="558">
        <v>6.9652761753262515E-2</v>
      </c>
      <c r="I23" s="558">
        <v>6.9652761753262515E-2</v>
      </c>
      <c r="J23" s="559">
        <v>6.9652761753262515E-2</v>
      </c>
      <c r="K23" s="560">
        <v>4.1764422296280967E-2</v>
      </c>
      <c r="L23" s="558">
        <v>4.1764422296280967E-2</v>
      </c>
      <c r="M23" s="558">
        <v>4.1764422296280967E-2</v>
      </c>
      <c r="N23" s="561">
        <v>4.1764422296280967E-2</v>
      </c>
    </row>
    <row r="24" spans="2:14" x14ac:dyDescent="0.25">
      <c r="B24" s="553">
        <v>1967</v>
      </c>
      <c r="C24" s="554">
        <v>2302.2959778644299</v>
      </c>
      <c r="D24" s="555">
        <v>2302.2959778644299</v>
      </c>
      <c r="E24" s="555">
        <v>2302.2959778644299</v>
      </c>
      <c r="F24" s="556">
        <v>2302.2959778644299</v>
      </c>
      <c r="G24" s="557">
        <v>7.2529316256766174E-2</v>
      </c>
      <c r="H24" s="558">
        <v>7.2529316256766174E-2</v>
      </c>
      <c r="I24" s="558">
        <v>7.2529316256766174E-2</v>
      </c>
      <c r="J24" s="559">
        <v>7.2529316256766174E-2</v>
      </c>
      <c r="K24" s="560">
        <v>4.3565758616444406E-2</v>
      </c>
      <c r="L24" s="558">
        <v>4.3565758616444406E-2</v>
      </c>
      <c r="M24" s="558">
        <v>4.3565758616444406E-2</v>
      </c>
      <c r="N24" s="561">
        <v>4.3565758616444406E-2</v>
      </c>
    </row>
    <row r="25" spans="2:14" x14ac:dyDescent="0.25">
      <c r="B25" s="553">
        <v>1968</v>
      </c>
      <c r="C25" s="554">
        <v>2533.6296235876976</v>
      </c>
      <c r="D25" s="555">
        <v>2533.6296235876976</v>
      </c>
      <c r="E25" s="555">
        <v>2533.6296235876976</v>
      </c>
      <c r="F25" s="556">
        <v>2533.6296235876976</v>
      </c>
      <c r="G25" s="557">
        <v>0.1004795421385607</v>
      </c>
      <c r="H25" s="558">
        <v>0.1004795421385607</v>
      </c>
      <c r="I25" s="558">
        <v>0.1004795421385607</v>
      </c>
      <c r="J25" s="559">
        <v>0.1004795421385607</v>
      </c>
      <c r="K25" s="560">
        <v>5.308222434872456E-2</v>
      </c>
      <c r="L25" s="558">
        <v>5.308222434872456E-2</v>
      </c>
      <c r="M25" s="558">
        <v>5.308222434872456E-2</v>
      </c>
      <c r="N25" s="561">
        <v>5.308222434872456E-2</v>
      </c>
    </row>
    <row r="26" spans="2:14" x14ac:dyDescent="0.25">
      <c r="B26" s="553">
        <v>1969</v>
      </c>
      <c r="C26" s="554">
        <v>2792.1564466588902</v>
      </c>
      <c r="D26" s="555">
        <v>2792.1564466588902</v>
      </c>
      <c r="E26" s="555">
        <v>2792.1564466588902</v>
      </c>
      <c r="F26" s="556">
        <v>2792.1564466588902</v>
      </c>
      <c r="G26" s="557">
        <v>0.10203812769804554</v>
      </c>
      <c r="H26" s="558">
        <v>0.10203812769804554</v>
      </c>
      <c r="I26" s="558">
        <v>0.10203812769804554</v>
      </c>
      <c r="J26" s="559">
        <v>0.10203812769804554</v>
      </c>
      <c r="K26" s="560">
        <v>3.5542817564683027E-2</v>
      </c>
      <c r="L26" s="558">
        <v>3.5542817564683027E-2</v>
      </c>
      <c r="M26" s="558">
        <v>3.5542817564683027E-2</v>
      </c>
      <c r="N26" s="561">
        <v>3.5542817564683027E-2</v>
      </c>
    </row>
    <row r="27" spans="2:14" x14ac:dyDescent="0.25">
      <c r="B27" s="553">
        <v>1970</v>
      </c>
      <c r="C27" s="554">
        <v>3094.723565736314</v>
      </c>
      <c r="D27" s="555">
        <v>3094.723565736314</v>
      </c>
      <c r="E27" s="555">
        <v>3094.723565736314</v>
      </c>
      <c r="F27" s="556">
        <v>3094.723565736314</v>
      </c>
      <c r="G27" s="557">
        <v>0.1083632399751373</v>
      </c>
      <c r="H27" s="558">
        <v>0.1083632399751373</v>
      </c>
      <c r="I27" s="558">
        <v>0.1083632399751373</v>
      </c>
      <c r="J27" s="559">
        <v>0.1083632399751373</v>
      </c>
      <c r="K27" s="560">
        <v>5.3332617570777119E-2</v>
      </c>
      <c r="L27" s="558">
        <v>5.3332617570777119E-2</v>
      </c>
      <c r="M27" s="558">
        <v>5.3332617570777119E-2</v>
      </c>
      <c r="N27" s="561">
        <v>5.3332617570777119E-2</v>
      </c>
    </row>
    <row r="28" spans="2:14" x14ac:dyDescent="0.25">
      <c r="B28" s="553">
        <v>1971</v>
      </c>
      <c r="C28" s="554">
        <v>3419.8160069236997</v>
      </c>
      <c r="D28" s="555">
        <v>3419.8160069236997</v>
      </c>
      <c r="E28" s="555">
        <v>3419.8160069236997</v>
      </c>
      <c r="F28" s="556">
        <v>3419.8160069236997</v>
      </c>
      <c r="G28" s="557">
        <v>0.10504732790569538</v>
      </c>
      <c r="H28" s="558">
        <v>0.10504732790569538</v>
      </c>
      <c r="I28" s="558">
        <v>0.10504732790569538</v>
      </c>
      <c r="J28" s="559">
        <v>0.10504732790569538</v>
      </c>
      <c r="K28" s="560">
        <v>4.5809185244966688E-2</v>
      </c>
      <c r="L28" s="558">
        <v>4.5809185244966688E-2</v>
      </c>
      <c r="M28" s="558">
        <v>4.5809185244966688E-2</v>
      </c>
      <c r="N28" s="561">
        <v>4.5809185244966688E-2</v>
      </c>
    </row>
    <row r="29" spans="2:14" x14ac:dyDescent="0.25">
      <c r="B29" s="553">
        <v>1972</v>
      </c>
      <c r="C29" s="554">
        <v>3814.3896407600828</v>
      </c>
      <c r="D29" s="555">
        <v>3814.3896407600828</v>
      </c>
      <c r="E29" s="555">
        <v>3814.3896407600828</v>
      </c>
      <c r="F29" s="556">
        <v>3814.3896407600828</v>
      </c>
      <c r="G29" s="557">
        <v>0.1153786148253404</v>
      </c>
      <c r="H29" s="558">
        <v>0.1153786148253404</v>
      </c>
      <c r="I29" s="558">
        <v>0.1153786148253404</v>
      </c>
      <c r="J29" s="559">
        <v>0.1153786148253404</v>
      </c>
      <c r="K29" s="560">
        <v>5.0708907107911205E-2</v>
      </c>
      <c r="L29" s="558">
        <v>5.0708907107911205E-2</v>
      </c>
      <c r="M29" s="558">
        <v>5.0708907107911205E-2</v>
      </c>
      <c r="N29" s="561">
        <v>5.0708907107911205E-2</v>
      </c>
    </row>
    <row r="30" spans="2:14" x14ac:dyDescent="0.25">
      <c r="B30" s="553">
        <v>1973</v>
      </c>
      <c r="C30" s="554">
        <v>4274.6969122529154</v>
      </c>
      <c r="D30" s="555">
        <v>4274.6969122529154</v>
      </c>
      <c r="E30" s="555">
        <v>4274.6969122529154</v>
      </c>
      <c r="F30" s="556">
        <v>4274.6969122529154</v>
      </c>
      <c r="G30" s="557">
        <v>0.12067652097574078</v>
      </c>
      <c r="H30" s="558">
        <v>0.12067652097574078</v>
      </c>
      <c r="I30" s="558">
        <v>0.12067652097574078</v>
      </c>
      <c r="J30" s="559">
        <v>0.12067652097574078</v>
      </c>
      <c r="K30" s="560">
        <v>2.6007499797424671E-2</v>
      </c>
      <c r="L30" s="558">
        <v>2.6007499797424671E-2</v>
      </c>
      <c r="M30" s="558">
        <v>2.6007499797424671E-2</v>
      </c>
      <c r="N30" s="561">
        <v>2.6007499797424671E-2</v>
      </c>
    </row>
    <row r="31" spans="2:14" x14ac:dyDescent="0.25">
      <c r="B31" s="553">
        <v>1974</v>
      </c>
      <c r="C31" s="554">
        <v>4941.8896153737423</v>
      </c>
      <c r="D31" s="555">
        <v>4941.8896153737423</v>
      </c>
      <c r="E31" s="555">
        <v>4941.8896153737423</v>
      </c>
      <c r="F31" s="556">
        <v>4941.8896153737423</v>
      </c>
      <c r="G31" s="557">
        <v>0.15607953424917631</v>
      </c>
      <c r="H31" s="558">
        <v>0.15607953424917631</v>
      </c>
      <c r="I31" s="558">
        <v>0.15607953424917631</v>
      </c>
      <c r="J31" s="559">
        <v>0.15607953424917631</v>
      </c>
      <c r="K31" s="560">
        <v>1.6282661316887603E-2</v>
      </c>
      <c r="L31" s="558">
        <v>1.6282661316887603E-2</v>
      </c>
      <c r="M31" s="558">
        <v>1.6282661316887603E-2</v>
      </c>
      <c r="N31" s="561">
        <v>1.6282661316887603E-2</v>
      </c>
    </row>
    <row r="32" spans="2:14" x14ac:dyDescent="0.25">
      <c r="B32" s="553">
        <v>1975</v>
      </c>
      <c r="C32" s="554">
        <v>5679.6724123373397</v>
      </c>
      <c r="D32" s="555">
        <v>5679.6724123373397</v>
      </c>
      <c r="E32" s="555">
        <v>5679.6724123373397</v>
      </c>
      <c r="F32" s="556">
        <v>5679.6724123373397</v>
      </c>
      <c r="G32" s="557">
        <v>0.14929163829730752</v>
      </c>
      <c r="H32" s="558">
        <v>0.14929163829730752</v>
      </c>
      <c r="I32" s="558">
        <v>0.14929163829730752</v>
      </c>
      <c r="J32" s="559">
        <v>0.14929163829730752</v>
      </c>
      <c r="K32" s="560">
        <v>2.8530864448376159E-2</v>
      </c>
      <c r="L32" s="558">
        <v>2.8530864448376159E-2</v>
      </c>
      <c r="M32" s="558">
        <v>2.8530864448376159E-2</v>
      </c>
      <c r="N32" s="561">
        <v>2.8530864448376159E-2</v>
      </c>
    </row>
    <row r="33" spans="2:14" x14ac:dyDescent="0.25">
      <c r="B33" s="553">
        <v>1976</v>
      </c>
      <c r="C33" s="554">
        <v>6427.2415877597805</v>
      </c>
      <c r="D33" s="555">
        <v>6427.2415877597805</v>
      </c>
      <c r="E33" s="555">
        <v>6427.2415877597805</v>
      </c>
      <c r="F33" s="556">
        <v>6427.2415877597805</v>
      </c>
      <c r="G33" s="557">
        <v>0.13162188259283703</v>
      </c>
      <c r="H33" s="558">
        <v>0.13162188259283703</v>
      </c>
      <c r="I33" s="558">
        <v>0.13162188259283703</v>
      </c>
      <c r="J33" s="559">
        <v>0.13162188259283703</v>
      </c>
      <c r="K33" s="560">
        <v>3.1990963363737857E-2</v>
      </c>
      <c r="L33" s="558">
        <v>3.1990963363737857E-2</v>
      </c>
      <c r="M33" s="558">
        <v>3.1990963363737857E-2</v>
      </c>
      <c r="N33" s="561">
        <v>3.1990963363737857E-2</v>
      </c>
    </row>
    <row r="34" spans="2:14" x14ac:dyDescent="0.25">
      <c r="B34" s="553">
        <v>1977</v>
      </c>
      <c r="C34" s="554">
        <v>7156.860082498416</v>
      </c>
      <c r="D34" s="555">
        <v>7156.860082498416</v>
      </c>
      <c r="E34" s="555">
        <v>7156.860082498416</v>
      </c>
      <c r="F34" s="556">
        <v>7156.860082498416</v>
      </c>
      <c r="G34" s="557">
        <v>0.11351969344487389</v>
      </c>
      <c r="H34" s="558">
        <v>0.11351969344487389</v>
      </c>
      <c r="I34" s="558">
        <v>0.11351969344487389</v>
      </c>
      <c r="J34" s="559">
        <v>0.11351969344487389</v>
      </c>
      <c r="K34" s="560">
        <v>1.843261849901956E-2</v>
      </c>
      <c r="L34" s="558">
        <v>1.843261849901956E-2</v>
      </c>
      <c r="M34" s="558">
        <v>1.843261849901956E-2</v>
      </c>
      <c r="N34" s="561">
        <v>1.843261849901956E-2</v>
      </c>
    </row>
    <row r="35" spans="2:14" x14ac:dyDescent="0.25">
      <c r="B35" s="553">
        <v>1978</v>
      </c>
      <c r="C35" s="554">
        <v>8084.0010725647799</v>
      </c>
      <c r="D35" s="555">
        <v>8084.0010725647799</v>
      </c>
      <c r="E35" s="555">
        <v>8084.0010725647799</v>
      </c>
      <c r="F35" s="556">
        <v>8084.0010725647799</v>
      </c>
      <c r="G35" s="557">
        <v>0.12954577557462943</v>
      </c>
      <c r="H35" s="558">
        <v>0.12954577557462943</v>
      </c>
      <c r="I35" s="558">
        <v>0.12954577557462943</v>
      </c>
      <c r="J35" s="559">
        <v>0.12954577557462943</v>
      </c>
      <c r="K35" s="560">
        <v>3.5675556588001589E-2</v>
      </c>
      <c r="L35" s="558">
        <v>3.5675556588001589E-2</v>
      </c>
      <c r="M35" s="558">
        <v>3.5675556588001589E-2</v>
      </c>
      <c r="N35" s="561">
        <v>3.5675556588001589E-2</v>
      </c>
    </row>
    <row r="36" spans="2:14" x14ac:dyDescent="0.25">
      <c r="B36" s="553">
        <v>1979</v>
      </c>
      <c r="C36" s="554">
        <v>9015.3494492153568</v>
      </c>
      <c r="D36" s="555">
        <v>9015.3494492153568</v>
      </c>
      <c r="E36" s="555">
        <v>9015.3494492153568</v>
      </c>
      <c r="F36" s="556">
        <v>9015.3494492153568</v>
      </c>
      <c r="G36" s="557">
        <v>0.11520883882751543</v>
      </c>
      <c r="H36" s="558">
        <v>0.11520883882751543</v>
      </c>
      <c r="I36" s="558">
        <v>0.11520883882751543</v>
      </c>
      <c r="J36" s="559">
        <v>0.11520883882751543</v>
      </c>
      <c r="K36" s="560">
        <v>6.6609233309751215E-3</v>
      </c>
      <c r="L36" s="558">
        <v>6.6609233309751215E-3</v>
      </c>
      <c r="M36" s="558">
        <v>6.6609233309751215E-3</v>
      </c>
      <c r="N36" s="561">
        <v>6.6609233309751215E-3</v>
      </c>
    </row>
    <row r="37" spans="2:14" x14ac:dyDescent="0.25">
      <c r="B37" s="553">
        <v>1980</v>
      </c>
      <c r="C37" s="554">
        <v>10268.520177254355</v>
      </c>
      <c r="D37" s="555">
        <v>10268.520177254355</v>
      </c>
      <c r="E37" s="555">
        <v>10268.520177254355</v>
      </c>
      <c r="F37" s="556">
        <v>10268.520177254355</v>
      </c>
      <c r="G37" s="557">
        <v>0.13900412125988826</v>
      </c>
      <c r="H37" s="558">
        <v>0.13900412125988826</v>
      </c>
      <c r="I37" s="558">
        <v>0.13900412125988826</v>
      </c>
      <c r="J37" s="559">
        <v>0.13900412125988826</v>
      </c>
      <c r="K37" s="560">
        <v>3.1196547049956447E-3</v>
      </c>
      <c r="L37" s="558">
        <v>3.1196547049956447E-3</v>
      </c>
      <c r="M37" s="558">
        <v>3.1196547049956447E-3</v>
      </c>
      <c r="N37" s="561">
        <v>3.1196547049956447E-3</v>
      </c>
    </row>
    <row r="38" spans="2:14" x14ac:dyDescent="0.25">
      <c r="B38" s="553">
        <v>1981</v>
      </c>
      <c r="C38" s="554">
        <v>11534.549135525724</v>
      </c>
      <c r="D38" s="555">
        <v>11534.549135525724</v>
      </c>
      <c r="E38" s="555">
        <v>11534.549135525724</v>
      </c>
      <c r="F38" s="556">
        <v>11534.549135525724</v>
      </c>
      <c r="G38" s="557">
        <v>0.12329225014094347</v>
      </c>
      <c r="H38" s="558">
        <v>0.12329225014094347</v>
      </c>
      <c r="I38" s="558">
        <v>0.12329225014094347</v>
      </c>
      <c r="J38" s="559">
        <v>0.12329225014094347</v>
      </c>
      <c r="K38" s="560">
        <v>-9.4801366715754343E-3</v>
      </c>
      <c r="L38" s="558">
        <v>-9.4801366715754343E-3</v>
      </c>
      <c r="M38" s="558">
        <v>-9.4801366715754343E-3</v>
      </c>
      <c r="N38" s="561">
        <v>-9.4801366715754343E-3</v>
      </c>
    </row>
    <row r="39" spans="2:14" x14ac:dyDescent="0.25">
      <c r="B39" s="553">
        <v>1982</v>
      </c>
      <c r="C39" s="554">
        <v>13133.9342249775</v>
      </c>
      <c r="D39" s="555">
        <v>13133.9342249775</v>
      </c>
      <c r="E39" s="555">
        <v>13133.9342249775</v>
      </c>
      <c r="F39" s="556">
        <v>13133.9342249775</v>
      </c>
      <c r="G39" s="557">
        <v>0.13866039068018399</v>
      </c>
      <c r="H39" s="558">
        <v>0.13866039068018399</v>
      </c>
      <c r="I39" s="558">
        <v>0.13866039068018399</v>
      </c>
      <c r="J39" s="559">
        <v>0.13866039068018399</v>
      </c>
      <c r="K39" s="560">
        <v>1.8298226670717677E-2</v>
      </c>
      <c r="L39" s="558">
        <v>1.8298226670717677E-2</v>
      </c>
      <c r="M39" s="558">
        <v>1.8298226670717677E-2</v>
      </c>
      <c r="N39" s="561">
        <v>1.8298226670717677E-2</v>
      </c>
    </row>
    <row r="40" spans="2:14" x14ac:dyDescent="0.25">
      <c r="B40" s="553">
        <v>1983</v>
      </c>
      <c r="C40" s="554">
        <v>14345.702562669803</v>
      </c>
      <c r="D40" s="555">
        <v>14345.702562669803</v>
      </c>
      <c r="E40" s="555">
        <v>14345.702562669803</v>
      </c>
      <c r="F40" s="556">
        <v>14345.702562669803</v>
      </c>
      <c r="G40" s="557">
        <v>9.2262403399875348E-2</v>
      </c>
      <c r="H40" s="558">
        <v>9.2262403399875348E-2</v>
      </c>
      <c r="I40" s="558">
        <v>9.2262403399875348E-2</v>
      </c>
      <c r="J40" s="559">
        <v>9.2262403399875348E-2</v>
      </c>
      <c r="K40" s="560">
        <v>-3.6215899857774403E-3</v>
      </c>
      <c r="L40" s="558">
        <v>-3.6215899857774403E-3</v>
      </c>
      <c r="M40" s="558">
        <v>-3.6215899857774403E-3</v>
      </c>
      <c r="N40" s="561">
        <v>-3.6215899857774403E-3</v>
      </c>
    </row>
    <row r="41" spans="2:14" x14ac:dyDescent="0.25">
      <c r="B41" s="553">
        <v>1984</v>
      </c>
      <c r="C41" s="554">
        <v>15281.126717098661</v>
      </c>
      <c r="D41" s="555">
        <v>15281.126717098661</v>
      </c>
      <c r="E41" s="555">
        <v>15281.126717098661</v>
      </c>
      <c r="F41" s="556">
        <v>15281.126717098661</v>
      </c>
      <c r="G41" s="557">
        <v>6.52058796243975E-2</v>
      </c>
      <c r="H41" s="558">
        <v>6.52058796243975E-2</v>
      </c>
      <c r="I41" s="558">
        <v>6.52058796243975E-2</v>
      </c>
      <c r="J41" s="559">
        <v>6.52058796243975E-2</v>
      </c>
      <c r="K41" s="560">
        <v>-8.223013522136946E-3</v>
      </c>
      <c r="L41" s="558">
        <v>-8.223013522136946E-3</v>
      </c>
      <c r="M41" s="558">
        <v>-8.223013522136946E-3</v>
      </c>
      <c r="N41" s="561">
        <v>-8.223013522136946E-3</v>
      </c>
    </row>
    <row r="42" spans="2:14" x14ac:dyDescent="0.25">
      <c r="B42" s="553">
        <v>1985</v>
      </c>
      <c r="C42" s="554">
        <v>16166.750095805153</v>
      </c>
      <c r="D42" s="555">
        <v>16166.750095805153</v>
      </c>
      <c r="E42" s="555">
        <v>16166.750095805153</v>
      </c>
      <c r="F42" s="556">
        <v>16166.750095805153</v>
      </c>
      <c r="G42" s="557">
        <v>5.7955371688367174E-2</v>
      </c>
      <c r="H42" s="558">
        <v>5.7955371688367174E-2</v>
      </c>
      <c r="I42" s="558">
        <v>5.7955371688367174E-2</v>
      </c>
      <c r="J42" s="559">
        <v>5.7955371688367174E-2</v>
      </c>
      <c r="K42" s="560">
        <v>-1.8007123489205412E-4</v>
      </c>
      <c r="L42" s="558">
        <v>-1.8007123489205412E-4</v>
      </c>
      <c r="M42" s="558">
        <v>-1.8007123489205412E-4</v>
      </c>
      <c r="N42" s="561">
        <v>-1.8007123489205412E-4</v>
      </c>
    </row>
    <row r="43" spans="2:14" x14ac:dyDescent="0.25">
      <c r="B43" s="553">
        <v>1986</v>
      </c>
      <c r="C43" s="554">
        <v>16898.901034637343</v>
      </c>
      <c r="D43" s="555">
        <v>16898.901034637343</v>
      </c>
      <c r="E43" s="555">
        <v>16898.901034637343</v>
      </c>
      <c r="F43" s="556">
        <v>16898.901034637343</v>
      </c>
      <c r="G43" s="557">
        <v>4.5287453229215346E-2</v>
      </c>
      <c r="H43" s="558">
        <v>4.5287453229215346E-2</v>
      </c>
      <c r="I43" s="558">
        <v>4.5287453229215346E-2</v>
      </c>
      <c r="J43" s="559">
        <v>4.5287453229215346E-2</v>
      </c>
      <c r="K43" s="560">
        <v>1.8191969674713038E-2</v>
      </c>
      <c r="L43" s="558">
        <v>1.8191969674713038E-2</v>
      </c>
      <c r="M43" s="558">
        <v>1.8191969674713038E-2</v>
      </c>
      <c r="N43" s="561">
        <v>1.8191969674713038E-2</v>
      </c>
    </row>
    <row r="44" spans="2:14" x14ac:dyDescent="0.25">
      <c r="B44" s="553">
        <v>1987</v>
      </c>
      <c r="C44" s="554">
        <v>17335.596237108864</v>
      </c>
      <c r="D44" s="555">
        <v>17335.596237108864</v>
      </c>
      <c r="E44" s="555">
        <v>17335.596237108864</v>
      </c>
      <c r="F44" s="556">
        <v>17335.596237108864</v>
      </c>
      <c r="G44" s="557">
        <v>2.5841633226707295E-2</v>
      </c>
      <c r="H44" s="558">
        <v>2.5841633226707295E-2</v>
      </c>
      <c r="I44" s="558">
        <v>2.5841633226707295E-2</v>
      </c>
      <c r="J44" s="559">
        <v>2.5841633226707295E-2</v>
      </c>
      <c r="K44" s="560">
        <v>-5.4626072128154401E-3</v>
      </c>
      <c r="L44" s="558">
        <v>-5.4626072128154401E-3</v>
      </c>
      <c r="M44" s="558">
        <v>-5.4626072128154401E-3</v>
      </c>
      <c r="N44" s="561">
        <v>-5.4626072128154401E-3</v>
      </c>
    </row>
    <row r="45" spans="2:14" x14ac:dyDescent="0.25">
      <c r="B45" s="553">
        <v>1988</v>
      </c>
      <c r="C45" s="554">
        <v>18081.78256965163</v>
      </c>
      <c r="D45" s="555">
        <v>18081.78256965163</v>
      </c>
      <c r="E45" s="555">
        <v>18081.78256965163</v>
      </c>
      <c r="F45" s="556">
        <v>18081.78256965163</v>
      </c>
      <c r="G45" s="557">
        <v>4.3043592059756719E-2</v>
      </c>
      <c r="H45" s="558">
        <v>4.3043592059756719E-2</v>
      </c>
      <c r="I45" s="558">
        <v>4.3043592059756719E-2</v>
      </c>
      <c r="J45" s="559">
        <v>4.3043592059756719E-2</v>
      </c>
      <c r="K45" s="560">
        <v>1.5695396812679174E-2</v>
      </c>
      <c r="L45" s="558">
        <v>1.5695396812679174E-2</v>
      </c>
      <c r="M45" s="558">
        <v>1.5695396812679174E-2</v>
      </c>
      <c r="N45" s="561">
        <v>1.5695396812679174E-2</v>
      </c>
    </row>
    <row r="46" spans="2:14" x14ac:dyDescent="0.25">
      <c r="B46" s="553">
        <v>1989</v>
      </c>
      <c r="C46" s="554">
        <v>19090.948589268417</v>
      </c>
      <c r="D46" s="555">
        <v>19090.948589268417</v>
      </c>
      <c r="E46" s="555">
        <v>19090.948589268417</v>
      </c>
      <c r="F46" s="556">
        <v>19090.948589268417</v>
      </c>
      <c r="G46" s="557">
        <v>5.5811202005634497E-2</v>
      </c>
      <c r="H46" s="558">
        <v>5.5811202005634497E-2</v>
      </c>
      <c r="I46" s="558">
        <v>5.5811202005634497E-2</v>
      </c>
      <c r="J46" s="559">
        <v>5.5811202005634497E-2</v>
      </c>
      <c r="K46" s="560">
        <v>1.9052131015560914E-2</v>
      </c>
      <c r="L46" s="558">
        <v>1.9052131015560914E-2</v>
      </c>
      <c r="M46" s="558">
        <v>1.9052131015560914E-2</v>
      </c>
      <c r="N46" s="561">
        <v>1.9052131015560914E-2</v>
      </c>
    </row>
    <row r="47" spans="2:14" x14ac:dyDescent="0.25">
      <c r="B47" s="553">
        <v>1990</v>
      </c>
      <c r="C47" s="554">
        <v>20193.37268899873</v>
      </c>
      <c r="D47" s="555">
        <v>20193.37268899873</v>
      </c>
      <c r="E47" s="555">
        <v>20193.37268899873</v>
      </c>
      <c r="F47" s="556">
        <v>20193.37268899873</v>
      </c>
      <c r="G47" s="557">
        <v>5.7745904797523728E-2</v>
      </c>
      <c r="H47" s="558">
        <v>5.7745904797523728E-2</v>
      </c>
      <c r="I47" s="558">
        <v>5.7745904797523728E-2</v>
      </c>
      <c r="J47" s="559">
        <v>5.7745904797523728E-2</v>
      </c>
      <c r="K47" s="560">
        <v>2.3220074077129782E-2</v>
      </c>
      <c r="L47" s="558">
        <v>2.3220074077129782E-2</v>
      </c>
      <c r="M47" s="558">
        <v>2.3220074077129782E-2</v>
      </c>
      <c r="N47" s="561">
        <v>2.3220074077129782E-2</v>
      </c>
    </row>
    <row r="48" spans="2:14" x14ac:dyDescent="0.25">
      <c r="B48" s="553">
        <v>1991</v>
      </c>
      <c r="C48" s="554">
        <v>20927.906776028594</v>
      </c>
      <c r="D48" s="555">
        <v>20927.906776028594</v>
      </c>
      <c r="E48" s="555">
        <v>20927.906776028594</v>
      </c>
      <c r="F48" s="556">
        <v>20927.906776028594</v>
      </c>
      <c r="G48" s="557">
        <v>3.6375007698938644E-2</v>
      </c>
      <c r="H48" s="558">
        <v>3.6375007698938644E-2</v>
      </c>
      <c r="I48" s="558">
        <v>3.6375007698938644E-2</v>
      </c>
      <c r="J48" s="559">
        <v>3.6375007698938644E-2</v>
      </c>
      <c r="K48" s="560">
        <v>3.6160275705239275E-3</v>
      </c>
      <c r="L48" s="558">
        <v>3.6160275705239275E-3</v>
      </c>
      <c r="M48" s="558">
        <v>3.6160275705239275E-3</v>
      </c>
      <c r="N48" s="561">
        <v>3.6160275705239275E-3</v>
      </c>
    </row>
    <row r="49" spans="2:14" x14ac:dyDescent="0.25">
      <c r="B49" s="553">
        <v>1992</v>
      </c>
      <c r="C49" s="554">
        <v>21696.524487642419</v>
      </c>
      <c r="D49" s="555">
        <v>21696.524487642419</v>
      </c>
      <c r="E49" s="555">
        <v>21696.524487642419</v>
      </c>
      <c r="F49" s="556">
        <v>21696.524487642419</v>
      </c>
      <c r="G49" s="557">
        <v>3.6726927343456062E-2</v>
      </c>
      <c r="H49" s="558">
        <v>3.6726927343456062E-2</v>
      </c>
      <c r="I49" s="558">
        <v>3.6726927343456062E-2</v>
      </c>
      <c r="J49" s="559">
        <v>3.6726927343456062E-2</v>
      </c>
      <c r="K49" s="560">
        <v>1.3429693021131062E-2</v>
      </c>
      <c r="L49" s="558">
        <v>1.3429693021131062E-2</v>
      </c>
      <c r="M49" s="558">
        <v>1.3429693021131062E-2</v>
      </c>
      <c r="N49" s="561">
        <v>1.3429693021131062E-2</v>
      </c>
    </row>
    <row r="50" spans="2:14" x14ac:dyDescent="0.25">
      <c r="B50" s="553">
        <v>1993</v>
      </c>
      <c r="C50" s="554">
        <v>22072.243705362467</v>
      </c>
      <c r="D50" s="555">
        <v>22072.243705362467</v>
      </c>
      <c r="E50" s="555">
        <v>22072.243705362467</v>
      </c>
      <c r="F50" s="556">
        <v>22072.243705362467</v>
      </c>
      <c r="G50" s="557">
        <v>1.7317023191158798E-2</v>
      </c>
      <c r="H50" s="558">
        <v>1.7317023191158798E-2</v>
      </c>
      <c r="I50" s="558">
        <v>1.7317023191158798E-2</v>
      </c>
      <c r="J50" s="559">
        <v>1.7317023191158798E-2</v>
      </c>
      <c r="K50" s="560">
        <v>-3.6730116752337061E-3</v>
      </c>
      <c r="L50" s="558">
        <v>-3.6730116752337061E-3</v>
      </c>
      <c r="M50" s="558">
        <v>-3.6730116752337061E-3</v>
      </c>
      <c r="N50" s="561">
        <v>-3.6730116752337061E-3</v>
      </c>
    </row>
    <row r="51" spans="2:14" x14ac:dyDescent="0.25">
      <c r="B51" s="553">
        <v>1994</v>
      </c>
      <c r="C51" s="554">
        <v>22448.468970934897</v>
      </c>
      <c r="D51" s="555">
        <v>22448.468970934897</v>
      </c>
      <c r="E51" s="555">
        <v>22448.468970934897</v>
      </c>
      <c r="F51" s="556">
        <v>22448.468970934897</v>
      </c>
      <c r="G51" s="557">
        <v>1.7045175406477764E-2</v>
      </c>
      <c r="H51" s="558">
        <v>1.7045175406477764E-2</v>
      </c>
      <c r="I51" s="558">
        <v>1.7045175406477764E-2</v>
      </c>
      <c r="J51" s="559">
        <v>1.7045175406477764E-2</v>
      </c>
      <c r="K51" s="560">
        <v>5.3023345129799004E-4</v>
      </c>
      <c r="L51" s="558">
        <v>5.3023345129799004E-4</v>
      </c>
      <c r="M51" s="558">
        <v>5.3023345129799004E-4</v>
      </c>
      <c r="N51" s="561">
        <v>5.3023345129799004E-4</v>
      </c>
    </row>
    <row r="52" spans="2:14" x14ac:dyDescent="0.25">
      <c r="B52" s="553">
        <v>1995</v>
      </c>
      <c r="C52" s="554">
        <v>22996.744745671662</v>
      </c>
      <c r="D52" s="555">
        <v>22996.744745671662</v>
      </c>
      <c r="E52" s="555">
        <v>22996.744745671662</v>
      </c>
      <c r="F52" s="556">
        <v>22996.744745671662</v>
      </c>
      <c r="G52" s="557">
        <v>2.4423749140604745E-2</v>
      </c>
      <c r="H52" s="558">
        <v>2.4423749140604745E-2</v>
      </c>
      <c r="I52" s="558">
        <v>2.4423749140604745E-2</v>
      </c>
      <c r="J52" s="559">
        <v>2.4423749140604745E-2</v>
      </c>
      <c r="K52" s="560">
        <v>5.3773580543252653E-3</v>
      </c>
      <c r="L52" s="558">
        <v>5.3773580543252653E-3</v>
      </c>
      <c r="M52" s="558">
        <v>5.3773580543252653E-3</v>
      </c>
      <c r="N52" s="561">
        <v>5.3773580543252653E-3</v>
      </c>
    </row>
    <row r="53" spans="2:14" x14ac:dyDescent="0.25">
      <c r="B53" s="553">
        <v>1996</v>
      </c>
      <c r="C53" s="554">
        <v>23556.273762392739</v>
      </c>
      <c r="D53" s="555">
        <v>23556.273762392739</v>
      </c>
      <c r="E53" s="555">
        <v>23556.273762392739</v>
      </c>
      <c r="F53" s="556">
        <v>23556.273762392739</v>
      </c>
      <c r="G53" s="557">
        <v>2.4330792158154813E-2</v>
      </c>
      <c r="H53" s="558">
        <v>2.4330792158154813E-2</v>
      </c>
      <c r="I53" s="558">
        <v>2.4330792158154813E-2</v>
      </c>
      <c r="J53" s="559">
        <v>2.4330792158154813E-2</v>
      </c>
      <c r="K53" s="560">
        <v>4.3243313738159372E-3</v>
      </c>
      <c r="L53" s="558">
        <v>4.3243313738159372E-3</v>
      </c>
      <c r="M53" s="558">
        <v>4.3243313738159372E-3</v>
      </c>
      <c r="N53" s="561">
        <v>4.3243313738159372E-3</v>
      </c>
    </row>
    <row r="54" spans="2:14" x14ac:dyDescent="0.25">
      <c r="B54" s="553">
        <v>1997</v>
      </c>
      <c r="C54" s="554">
        <v>23896.513178718149</v>
      </c>
      <c r="D54" s="555">
        <v>23896.513178718149</v>
      </c>
      <c r="E54" s="555">
        <v>23896.513178718149</v>
      </c>
      <c r="F54" s="556">
        <v>23896.513178718149</v>
      </c>
      <c r="G54" s="557">
        <v>1.4443685778036564E-2</v>
      </c>
      <c r="H54" s="558">
        <v>1.4443685778036564E-2</v>
      </c>
      <c r="I54" s="558">
        <v>1.4443685778036564E-2</v>
      </c>
      <c r="J54" s="559">
        <v>1.4443685778036564E-2</v>
      </c>
      <c r="K54" s="560">
        <v>2.6933728153566427E-3</v>
      </c>
      <c r="L54" s="558">
        <v>2.6933728153566427E-3</v>
      </c>
      <c r="M54" s="558">
        <v>2.6933728153566427E-3</v>
      </c>
      <c r="N54" s="561">
        <v>2.6933728153566427E-3</v>
      </c>
    </row>
    <row r="55" spans="2:14" x14ac:dyDescent="0.25">
      <c r="B55" s="553">
        <v>1998</v>
      </c>
      <c r="C55" s="554">
        <v>24424.078409823818</v>
      </c>
      <c r="D55" s="555">
        <v>24424.078409823818</v>
      </c>
      <c r="E55" s="555">
        <v>24424.078409823818</v>
      </c>
      <c r="F55" s="556">
        <v>24424.078409823818</v>
      </c>
      <c r="G55" s="557">
        <v>2.2077079913713549E-2</v>
      </c>
      <c r="H55" s="558">
        <v>2.2077079913713549E-2</v>
      </c>
      <c r="I55" s="558">
        <v>2.2077079913713549E-2</v>
      </c>
      <c r="J55" s="559">
        <v>2.2077079913713549E-2</v>
      </c>
      <c r="K55" s="560">
        <v>1.5542060221170662E-2</v>
      </c>
      <c r="L55" s="558">
        <v>1.5542060221170662E-2</v>
      </c>
      <c r="M55" s="558">
        <v>1.5542060221170662E-2</v>
      </c>
      <c r="N55" s="561">
        <v>1.5542060221170662E-2</v>
      </c>
    </row>
    <row r="56" spans="2:14" x14ac:dyDescent="0.25">
      <c r="B56" s="553">
        <v>1999</v>
      </c>
      <c r="C56" s="554">
        <v>25013.374847956955</v>
      </c>
      <c r="D56" s="555">
        <v>25013.374847956955</v>
      </c>
      <c r="E56" s="555">
        <v>25013.374847956955</v>
      </c>
      <c r="F56" s="556">
        <v>25013.374847956955</v>
      </c>
      <c r="G56" s="557">
        <v>2.4127683683496048E-2</v>
      </c>
      <c r="H56" s="558">
        <v>2.4127683683496048E-2</v>
      </c>
      <c r="I56" s="558">
        <v>2.4127683683496048E-2</v>
      </c>
      <c r="J56" s="559">
        <v>2.4127683683496048E-2</v>
      </c>
      <c r="K56" s="560">
        <v>1.8915837965005178E-2</v>
      </c>
      <c r="L56" s="558">
        <v>1.8915837965005178E-2</v>
      </c>
      <c r="M56" s="558">
        <v>1.8915837965005178E-2</v>
      </c>
      <c r="N56" s="561">
        <v>1.8915837965005178E-2</v>
      </c>
    </row>
    <row r="57" spans="2:14" x14ac:dyDescent="0.25">
      <c r="B57" s="553">
        <v>2000</v>
      </c>
      <c r="C57" s="554">
        <v>25877.215841041289</v>
      </c>
      <c r="D57" s="555">
        <v>25877.215841041289</v>
      </c>
      <c r="E57" s="555">
        <v>25877.215841041289</v>
      </c>
      <c r="F57" s="556">
        <v>25877.215841041289</v>
      </c>
      <c r="G57" s="557">
        <v>3.4535163620869502E-2</v>
      </c>
      <c r="H57" s="558">
        <v>3.4535163620869502E-2</v>
      </c>
      <c r="I57" s="558">
        <v>3.4535163620869502E-2</v>
      </c>
      <c r="J57" s="559">
        <v>3.4535163620869502E-2</v>
      </c>
      <c r="K57" s="560">
        <v>1.7702926916149275E-2</v>
      </c>
      <c r="L57" s="558">
        <v>1.7702926916149275E-2</v>
      </c>
      <c r="M57" s="558">
        <v>1.7702926916149275E-2</v>
      </c>
      <c r="N57" s="561">
        <v>1.7702926916149275E-2</v>
      </c>
    </row>
    <row r="58" spans="2:14" x14ac:dyDescent="0.25">
      <c r="B58" s="553">
        <v>2001</v>
      </c>
      <c r="C58" s="554">
        <v>26787.88814061863</v>
      </c>
      <c r="D58" s="555">
        <v>26787.88814061863</v>
      </c>
      <c r="E58" s="555">
        <v>26787.88814061863</v>
      </c>
      <c r="F58" s="556">
        <v>26787.88814061863</v>
      </c>
      <c r="G58" s="557">
        <v>3.5192050998508639E-2</v>
      </c>
      <c r="H58" s="558">
        <v>3.5192050998508639E-2</v>
      </c>
      <c r="I58" s="558">
        <v>3.5192050998508639E-2</v>
      </c>
      <c r="J58" s="559">
        <v>3.5192050998508639E-2</v>
      </c>
      <c r="K58" s="560">
        <v>1.8618779246069472E-2</v>
      </c>
      <c r="L58" s="558">
        <v>1.8618779246069472E-2</v>
      </c>
      <c r="M58" s="558">
        <v>1.8618779246069472E-2</v>
      </c>
      <c r="N58" s="561">
        <v>1.8618779246069472E-2</v>
      </c>
    </row>
    <row r="59" spans="2:14" x14ac:dyDescent="0.25">
      <c r="B59" s="553">
        <v>2002</v>
      </c>
      <c r="C59" s="554">
        <v>27756.115006418513</v>
      </c>
      <c r="D59" s="555">
        <v>27756.115006418513</v>
      </c>
      <c r="E59" s="555">
        <v>27756.115006418513</v>
      </c>
      <c r="F59" s="556">
        <v>27756.115006418513</v>
      </c>
      <c r="G59" s="557">
        <v>3.61442029590886E-2</v>
      </c>
      <c r="H59" s="558">
        <v>3.61442029590886E-2</v>
      </c>
      <c r="I59" s="558">
        <v>3.61442029590886E-2</v>
      </c>
      <c r="J59" s="559">
        <v>3.61442029590886E-2</v>
      </c>
      <c r="K59" s="560">
        <v>1.6122092756980733E-2</v>
      </c>
      <c r="L59" s="558">
        <v>1.6122092756980733E-2</v>
      </c>
      <c r="M59" s="558">
        <v>1.6122092756980733E-2</v>
      </c>
      <c r="N59" s="561">
        <v>1.6122092756980733E-2</v>
      </c>
    </row>
    <row r="60" spans="2:14" x14ac:dyDescent="0.25">
      <c r="B60" s="553">
        <v>2003</v>
      </c>
      <c r="C60" s="554">
        <v>28389.66483963298</v>
      </c>
      <c r="D60" s="555">
        <v>28389.66483963298</v>
      </c>
      <c r="E60" s="555">
        <v>28389.66483963298</v>
      </c>
      <c r="F60" s="556">
        <v>28389.66483963298</v>
      </c>
      <c r="G60" s="557">
        <v>2.2825594758775214E-2</v>
      </c>
      <c r="H60" s="558">
        <v>2.2825594758775214E-2</v>
      </c>
      <c r="I60" s="558">
        <v>2.2825594758775214E-2</v>
      </c>
      <c r="J60" s="559">
        <v>2.2825594758775214E-2</v>
      </c>
      <c r="K60" s="560">
        <v>2.2480384145158183E-3</v>
      </c>
      <c r="L60" s="558">
        <v>2.2480384145158183E-3</v>
      </c>
      <c r="M60" s="558">
        <v>2.2480384145158183E-3</v>
      </c>
      <c r="N60" s="561">
        <v>2.2480384145158183E-3</v>
      </c>
    </row>
    <row r="61" spans="2:14" x14ac:dyDescent="0.25">
      <c r="B61" s="553">
        <v>2004</v>
      </c>
      <c r="C61" s="554">
        <v>29390.898801932097</v>
      </c>
      <c r="D61" s="555">
        <v>29390.898801932097</v>
      </c>
      <c r="E61" s="555">
        <v>29390.898801932097</v>
      </c>
      <c r="F61" s="556">
        <v>29390.898801932097</v>
      </c>
      <c r="G61" s="557">
        <v>3.5267551341478187E-2</v>
      </c>
      <c r="H61" s="558">
        <v>3.5267551341478187E-2</v>
      </c>
      <c r="I61" s="558">
        <v>3.5267551341478187E-2</v>
      </c>
      <c r="J61" s="559">
        <v>3.5267551341478187E-2</v>
      </c>
      <c r="K61" s="560">
        <v>1.3674485380705814E-2</v>
      </c>
      <c r="L61" s="558">
        <v>1.3674485380705814E-2</v>
      </c>
      <c r="M61" s="558">
        <v>1.3674485380705814E-2</v>
      </c>
      <c r="N61" s="561">
        <v>1.3674485380705814E-2</v>
      </c>
    </row>
    <row r="62" spans="2:14" x14ac:dyDescent="0.25">
      <c r="B62" s="553">
        <v>2005</v>
      </c>
      <c r="C62" s="554">
        <v>30118.43185283634</v>
      </c>
      <c r="D62" s="555">
        <v>30118.43185283634</v>
      </c>
      <c r="E62" s="555">
        <v>30118.43185283634</v>
      </c>
      <c r="F62" s="556">
        <v>30118.43185283634</v>
      </c>
      <c r="G62" s="557">
        <v>2.4753685003209736E-2</v>
      </c>
      <c r="H62" s="558">
        <v>2.4753685003209736E-2</v>
      </c>
      <c r="I62" s="558">
        <v>2.4753685003209736E-2</v>
      </c>
      <c r="J62" s="559">
        <v>2.4753685003209736E-2</v>
      </c>
      <c r="K62" s="560">
        <v>6.100603137394689E-3</v>
      </c>
      <c r="L62" s="558">
        <v>6.100603137394689E-3</v>
      </c>
      <c r="M62" s="558">
        <v>6.100603137394689E-3</v>
      </c>
      <c r="N62" s="561">
        <v>6.100603137394689E-3</v>
      </c>
    </row>
    <row r="63" spans="2:14" x14ac:dyDescent="0.25">
      <c r="B63" s="553">
        <v>2006</v>
      </c>
      <c r="C63" s="554">
        <v>31101.146173232195</v>
      </c>
      <c r="D63" s="555">
        <v>31101.146173232195</v>
      </c>
      <c r="E63" s="555">
        <v>31101.146173232195</v>
      </c>
      <c r="F63" s="556">
        <v>31101.146173232195</v>
      </c>
      <c r="G63" s="557">
        <v>3.2628336202813024E-2</v>
      </c>
      <c r="H63" s="558">
        <v>3.2628336202813024E-2</v>
      </c>
      <c r="I63" s="558">
        <v>3.2628336202813024E-2</v>
      </c>
      <c r="J63" s="559">
        <v>3.2628336202813024E-2</v>
      </c>
      <c r="K63" s="560">
        <v>1.6097959836866238E-2</v>
      </c>
      <c r="L63" s="558">
        <v>1.6097959836866238E-2</v>
      </c>
      <c r="M63" s="558">
        <v>1.6097959836866238E-2</v>
      </c>
      <c r="N63" s="561">
        <v>1.6097959836866238E-2</v>
      </c>
    </row>
    <row r="64" spans="2:14" x14ac:dyDescent="0.25">
      <c r="B64" s="553">
        <v>2007</v>
      </c>
      <c r="C64" s="554">
        <v>31903.374243484195</v>
      </c>
      <c r="D64" s="555">
        <v>31903.374243484195</v>
      </c>
      <c r="E64" s="555">
        <v>31903.374243484195</v>
      </c>
      <c r="F64" s="556">
        <v>31903.374243484195</v>
      </c>
      <c r="G64" s="557">
        <v>2.5794164169500977E-2</v>
      </c>
      <c r="H64" s="558">
        <v>2.5794164169500977E-2</v>
      </c>
      <c r="I64" s="558">
        <v>2.5794164169500977E-2</v>
      </c>
      <c r="J64" s="559">
        <v>2.5794164169500977E-2</v>
      </c>
      <c r="K64" s="560">
        <v>1.0745562378794649E-2</v>
      </c>
      <c r="L64" s="558">
        <v>1.0745562378794649E-2</v>
      </c>
      <c r="M64" s="558">
        <v>1.0745562378794649E-2</v>
      </c>
      <c r="N64" s="561">
        <v>1.0745562378794649E-2</v>
      </c>
    </row>
    <row r="65" spans="2:14" x14ac:dyDescent="0.25">
      <c r="B65" s="553">
        <v>2008</v>
      </c>
      <c r="C65" s="554">
        <v>32657.838459142542</v>
      </c>
      <c r="D65" s="555">
        <v>32657.838459142542</v>
      </c>
      <c r="E65" s="555">
        <v>32657.838459142542</v>
      </c>
      <c r="F65" s="556">
        <v>32657.838459142542</v>
      </c>
      <c r="G65" s="557">
        <v>2.3648414424766839E-2</v>
      </c>
      <c r="H65" s="558">
        <v>2.3648414424766839E-2</v>
      </c>
      <c r="I65" s="558">
        <v>2.3648414424766839E-2</v>
      </c>
      <c r="J65" s="559">
        <v>2.3648414424766839E-2</v>
      </c>
      <c r="K65" s="560">
        <v>-4.3561286154987222E-3</v>
      </c>
      <c r="L65" s="558">
        <v>-4.3561286154987222E-3</v>
      </c>
      <c r="M65" s="558">
        <v>-4.3561286154987222E-3</v>
      </c>
      <c r="N65" s="561">
        <v>-4.3561286154987222E-3</v>
      </c>
    </row>
    <row r="66" spans="2:14" x14ac:dyDescent="0.25">
      <c r="B66" s="553">
        <v>2009</v>
      </c>
      <c r="C66" s="554">
        <v>32662.479570996402</v>
      </c>
      <c r="D66" s="555">
        <v>32662.479570996402</v>
      </c>
      <c r="E66" s="555">
        <v>32662.479570996402</v>
      </c>
      <c r="F66" s="556">
        <v>32662.479570996402</v>
      </c>
      <c r="G66" s="557">
        <v>1.4211325895518989E-4</v>
      </c>
      <c r="H66" s="558">
        <v>1.4211325895518989E-4</v>
      </c>
      <c r="I66" s="558">
        <v>1.4211325895518989E-4</v>
      </c>
      <c r="J66" s="559">
        <v>1.4211325895518989E-4</v>
      </c>
      <c r="K66" s="560">
        <v>-7.155496101703962E-4</v>
      </c>
      <c r="L66" s="558">
        <v>-7.155496101703962E-4</v>
      </c>
      <c r="M66" s="558">
        <v>-7.155496101703962E-4</v>
      </c>
      <c r="N66" s="561">
        <v>-7.155496101703962E-4</v>
      </c>
    </row>
    <row r="67" spans="2:14" x14ac:dyDescent="0.25">
      <c r="B67" s="553">
        <v>2010</v>
      </c>
      <c r="C67" s="554">
        <v>33535.370487249202</v>
      </c>
      <c r="D67" s="555">
        <v>33535.370487249202</v>
      </c>
      <c r="E67" s="555">
        <v>33535.370487249202</v>
      </c>
      <c r="F67" s="556">
        <v>33535.370487249202</v>
      </c>
      <c r="G67" s="557">
        <v>2.6724575957420837E-2</v>
      </c>
      <c r="H67" s="558">
        <v>2.6724575957420837E-2</v>
      </c>
      <c r="I67" s="558">
        <v>2.6724575957420837E-2</v>
      </c>
      <c r="J67" s="559">
        <v>2.6724575957420837E-2</v>
      </c>
      <c r="K67" s="560">
        <v>1.133075378595505E-2</v>
      </c>
      <c r="L67" s="558">
        <v>1.133075378595505E-2</v>
      </c>
      <c r="M67" s="558">
        <v>1.133075378595505E-2</v>
      </c>
      <c r="N67" s="561">
        <v>1.133075378595505E-2</v>
      </c>
    </row>
    <row r="68" spans="2:14" x14ac:dyDescent="0.25">
      <c r="B68" s="553">
        <v>2011</v>
      </c>
      <c r="C68" s="554">
        <v>33964.654680651372</v>
      </c>
      <c r="D68" s="555">
        <v>33964.654680651372</v>
      </c>
      <c r="E68" s="555">
        <v>33964.654680651372</v>
      </c>
      <c r="F68" s="556">
        <v>33964.654680651372</v>
      </c>
      <c r="G68" s="557">
        <v>1.2800937850541816E-2</v>
      </c>
      <c r="H68" s="558">
        <v>1.2800937850541816E-2</v>
      </c>
      <c r="I68" s="558">
        <v>1.2800937850541816E-2</v>
      </c>
      <c r="J68" s="559">
        <v>1.2800937850541816E-2</v>
      </c>
      <c r="K68" s="560">
        <v>-8.1441751233087833E-3</v>
      </c>
      <c r="L68" s="558">
        <v>-8.1441751233087833E-3</v>
      </c>
      <c r="M68" s="558">
        <v>-8.1441751233087833E-3</v>
      </c>
      <c r="N68" s="561">
        <v>-8.1441751233087833E-3</v>
      </c>
    </row>
    <row r="69" spans="2:14" x14ac:dyDescent="0.25">
      <c r="B69" s="553">
        <v>2012</v>
      </c>
      <c r="C69" s="554">
        <v>34475.16898518063</v>
      </c>
      <c r="D69" s="555">
        <v>34475.16898518063</v>
      </c>
      <c r="E69" s="555">
        <v>34475.16898518063</v>
      </c>
      <c r="F69" s="556">
        <v>34475.16898518063</v>
      </c>
      <c r="G69" s="557">
        <v>1.5030752095945177E-2</v>
      </c>
      <c r="H69" s="558">
        <v>1.5030752095945177E-2</v>
      </c>
      <c r="I69" s="558">
        <v>1.5030752095945177E-2</v>
      </c>
      <c r="J69" s="559">
        <v>1.5030752095945177E-2</v>
      </c>
      <c r="K69" s="560">
        <v>-4.4257197241495128E-3</v>
      </c>
      <c r="L69" s="558">
        <v>-4.4257197241495128E-3</v>
      </c>
      <c r="M69" s="558">
        <v>-4.4257197241495128E-3</v>
      </c>
      <c r="N69" s="561">
        <v>-4.4257197241495128E-3</v>
      </c>
    </row>
    <row r="70" spans="2:14" x14ac:dyDescent="0.25">
      <c r="B70" s="553">
        <v>2013</v>
      </c>
      <c r="C70" s="554">
        <v>34680.256436426644</v>
      </c>
      <c r="D70" s="555">
        <v>34680.256436426644</v>
      </c>
      <c r="E70" s="555">
        <v>34680.256436426644</v>
      </c>
      <c r="F70" s="556">
        <v>34680.256436426644</v>
      </c>
      <c r="G70" s="557">
        <v>5.9488454236198418E-3</v>
      </c>
      <c r="H70" s="558">
        <v>5.9488454236198418E-3</v>
      </c>
      <c r="I70" s="558">
        <v>5.9488454236198418E-3</v>
      </c>
      <c r="J70" s="559">
        <v>5.9488454236198418E-3</v>
      </c>
      <c r="K70" s="560">
        <v>-2.7492845488745754E-3</v>
      </c>
      <c r="L70" s="558">
        <v>-2.7492845488745754E-3</v>
      </c>
      <c r="M70" s="558">
        <v>-2.7492845488745754E-3</v>
      </c>
      <c r="N70" s="561">
        <v>-2.7492845488745754E-3</v>
      </c>
    </row>
    <row r="71" spans="2:14" x14ac:dyDescent="0.25">
      <c r="B71" s="553">
        <v>2014</v>
      </c>
      <c r="C71" s="554">
        <v>34911.598845646149</v>
      </c>
      <c r="D71" s="555">
        <v>34911.598845646149</v>
      </c>
      <c r="E71" s="555">
        <v>34911.598845646149</v>
      </c>
      <c r="F71" s="556">
        <v>34911.598845646149</v>
      </c>
      <c r="G71" s="557">
        <v>6.6707237198082581E-3</v>
      </c>
      <c r="H71" s="558">
        <v>6.6707237198082581E-3</v>
      </c>
      <c r="I71" s="558">
        <v>6.6707237198082581E-3</v>
      </c>
      <c r="J71" s="559">
        <v>6.6707237198082581E-3</v>
      </c>
      <c r="K71" s="560">
        <v>1.6353559541029128E-3</v>
      </c>
      <c r="L71" s="558">
        <v>1.6353559541029128E-3</v>
      </c>
      <c r="M71" s="558">
        <v>1.6353559541029128E-3</v>
      </c>
      <c r="N71" s="561">
        <v>1.6353559541029128E-3</v>
      </c>
    </row>
    <row r="72" spans="2:14" x14ac:dyDescent="0.25">
      <c r="B72" s="553">
        <v>2015</v>
      </c>
      <c r="C72" s="554">
        <v>35331.319970931458</v>
      </c>
      <c r="D72" s="555">
        <v>35331.319970931458</v>
      </c>
      <c r="E72" s="555">
        <v>35331.319970931458</v>
      </c>
      <c r="F72" s="556">
        <v>35331.319970931458</v>
      </c>
      <c r="G72" s="557">
        <v>1.2022397689117836E-2</v>
      </c>
      <c r="H72" s="558">
        <v>1.2022397689117836E-2</v>
      </c>
      <c r="I72" s="558">
        <v>1.2022397689117836E-2</v>
      </c>
      <c r="J72" s="559">
        <v>1.2022397689117836E-2</v>
      </c>
      <c r="K72" s="560">
        <v>1.1617588730042039E-2</v>
      </c>
      <c r="L72" s="558">
        <v>1.1617588730042039E-2</v>
      </c>
      <c r="M72" s="558">
        <v>1.1617588730042039E-2</v>
      </c>
      <c r="N72" s="561">
        <v>1.1617588730042039E-2</v>
      </c>
    </row>
    <row r="73" spans="2:14" x14ac:dyDescent="0.25">
      <c r="B73" s="553">
        <v>2016</v>
      </c>
      <c r="C73" s="554">
        <v>35766.776271669114</v>
      </c>
      <c r="D73" s="555">
        <v>35766.776271669114</v>
      </c>
      <c r="E73" s="555">
        <v>35766.776271669114</v>
      </c>
      <c r="F73" s="556">
        <v>35766.776271669114</v>
      </c>
      <c r="G73" s="557">
        <v>1.2324937225552945E-2</v>
      </c>
      <c r="H73" s="558">
        <v>1.2324937225552945E-2</v>
      </c>
      <c r="I73" s="558">
        <v>1.2324937225552945E-2</v>
      </c>
      <c r="J73" s="559">
        <v>1.2324937225552945E-2</v>
      </c>
      <c r="K73" s="560">
        <v>1.0506026378072297E-2</v>
      </c>
      <c r="L73" s="558">
        <v>1.0506026378072297E-2</v>
      </c>
      <c r="M73" s="558">
        <v>1.0506026378072297E-2</v>
      </c>
      <c r="N73" s="561">
        <v>1.0506026378072297E-2</v>
      </c>
    </row>
    <row r="74" spans="2:14" x14ac:dyDescent="0.25">
      <c r="B74" s="553">
        <v>2017</v>
      </c>
      <c r="C74" s="554">
        <v>36481.111346316837</v>
      </c>
      <c r="D74" s="555">
        <v>36481.111346316837</v>
      </c>
      <c r="E74" s="555">
        <v>36481.111346316837</v>
      </c>
      <c r="F74" s="556">
        <v>36481.111346316837</v>
      </c>
      <c r="G74" s="557">
        <v>1.99720284887277E-2</v>
      </c>
      <c r="H74" s="558">
        <v>1.99720284887277E-2</v>
      </c>
      <c r="I74" s="558">
        <v>1.99720284887277E-2</v>
      </c>
      <c r="J74" s="559">
        <v>1.99720284887277E-2</v>
      </c>
      <c r="K74" s="560">
        <v>9.4921736218211983E-3</v>
      </c>
      <c r="L74" s="558">
        <v>9.4921736218211983E-3</v>
      </c>
      <c r="M74" s="558">
        <v>9.4921736218211983E-3</v>
      </c>
      <c r="N74" s="561">
        <v>9.4921736218211983E-3</v>
      </c>
    </row>
    <row r="75" spans="2:14" x14ac:dyDescent="0.25">
      <c r="B75" s="553">
        <v>2018</v>
      </c>
      <c r="C75" s="554">
        <v>37042.735331123265</v>
      </c>
      <c r="D75" s="555">
        <v>37042.735331123265</v>
      </c>
      <c r="E75" s="555">
        <v>37042.735331123265</v>
      </c>
      <c r="F75" s="556">
        <v>37042.735331123265</v>
      </c>
      <c r="G75" s="557">
        <v>1.5394925321076558E-2</v>
      </c>
      <c r="H75" s="558">
        <v>1.5394925321076558E-2</v>
      </c>
      <c r="I75" s="558">
        <v>1.5394925321076558E-2</v>
      </c>
      <c r="J75" s="559">
        <v>1.5394925321076558E-2</v>
      </c>
      <c r="K75" s="560">
        <v>-3.0238205354605752E-3</v>
      </c>
      <c r="L75" s="558">
        <v>-3.0238205354605752E-3</v>
      </c>
      <c r="M75" s="558">
        <v>-3.0238205354605752E-3</v>
      </c>
      <c r="N75" s="561">
        <v>-3.0238205354605752E-3</v>
      </c>
    </row>
    <row r="76" spans="2:14" x14ac:dyDescent="0.25">
      <c r="B76" s="553">
        <v>2019</v>
      </c>
      <c r="C76" s="554">
        <v>37606.680264201917</v>
      </c>
      <c r="D76" s="555">
        <v>37606.680264201917</v>
      </c>
      <c r="E76" s="555">
        <v>37606.680264201917</v>
      </c>
      <c r="F76" s="556">
        <v>37606.680264201917</v>
      </c>
      <c r="G76" s="557">
        <v>1.5224170894443168E-2</v>
      </c>
      <c r="H76" s="558">
        <v>1.5224170894443168E-2</v>
      </c>
      <c r="I76" s="558">
        <v>1.5224170894443168E-2</v>
      </c>
      <c r="J76" s="559">
        <v>1.5224170894443168E-2</v>
      </c>
      <c r="K76" s="560">
        <v>4.1203087163788066E-3</v>
      </c>
      <c r="L76" s="558">
        <v>4.1203087163788066E-3</v>
      </c>
      <c r="M76" s="558">
        <v>4.1203087163788066E-3</v>
      </c>
      <c r="N76" s="561">
        <v>4.1203087163788066E-3</v>
      </c>
    </row>
    <row r="77" spans="2:14" x14ac:dyDescent="0.25">
      <c r="B77" s="562">
        <v>2020</v>
      </c>
      <c r="C77" s="563">
        <v>36729.044330767632</v>
      </c>
      <c r="D77" s="564">
        <v>36729.044330767632</v>
      </c>
      <c r="E77" s="564">
        <v>36729.044330767632</v>
      </c>
      <c r="F77" s="565">
        <v>36729.044330767632</v>
      </c>
      <c r="G77" s="566">
        <v>-2.3337234961143594E-2</v>
      </c>
      <c r="H77" s="567">
        <v>-2.3337234961143594E-2</v>
      </c>
      <c r="I77" s="567">
        <v>-2.3337234961143594E-2</v>
      </c>
      <c r="J77" s="568">
        <v>-2.3337234961143594E-2</v>
      </c>
      <c r="K77" s="569">
        <v>-2.8000000000000025E-2</v>
      </c>
      <c r="L77" s="567">
        <v>-2.8000000000000025E-2</v>
      </c>
      <c r="M77" s="567">
        <v>-2.8000000000000025E-2</v>
      </c>
      <c r="N77" s="570">
        <v>-2.8000000000000025E-2</v>
      </c>
    </row>
    <row r="78" spans="2:14" x14ac:dyDescent="0.25">
      <c r="B78" s="562">
        <v>2021</v>
      </c>
      <c r="C78" s="563">
        <v>38247.055732958252</v>
      </c>
      <c r="D78" s="564">
        <v>38247.055732958252</v>
      </c>
      <c r="E78" s="564">
        <v>38247.055732958252</v>
      </c>
      <c r="F78" s="565">
        <v>38247.055732958252</v>
      </c>
      <c r="G78" s="566">
        <v>4.1329999999999867E-2</v>
      </c>
      <c r="H78" s="567">
        <v>4.1329999999999867E-2</v>
      </c>
      <c r="I78" s="567">
        <v>4.1329999999999867E-2</v>
      </c>
      <c r="J78" s="568">
        <v>4.1329999999999867E-2</v>
      </c>
      <c r="K78" s="569">
        <v>3.0000000000000027E-2</v>
      </c>
      <c r="L78" s="567">
        <v>3.0000000000000027E-2</v>
      </c>
      <c r="M78" s="567">
        <v>3.0000000000000027E-2</v>
      </c>
      <c r="N78" s="570">
        <v>3.0000000000000027E-2</v>
      </c>
    </row>
    <row r="79" spans="2:14" x14ac:dyDescent="0.25">
      <c r="B79" s="562">
        <v>2022</v>
      </c>
      <c r="C79" s="563">
        <v>39208.433725861883</v>
      </c>
      <c r="D79" s="564">
        <v>39208.433725861883</v>
      </c>
      <c r="E79" s="564">
        <v>39208.433725861883</v>
      </c>
      <c r="F79" s="565">
        <v>39208.433725861883</v>
      </c>
      <c r="G79" s="566">
        <v>2.5135999999999825E-2</v>
      </c>
      <c r="H79" s="567">
        <v>2.5135999999999825E-2</v>
      </c>
      <c r="I79" s="567">
        <v>2.5135999999999825E-2</v>
      </c>
      <c r="J79" s="568">
        <v>2.5135999999999825E-2</v>
      </c>
      <c r="K79" s="569">
        <v>1.6999999999999904E-2</v>
      </c>
      <c r="L79" s="567">
        <v>1.6999999999999904E-2</v>
      </c>
      <c r="M79" s="567">
        <v>1.6999999999999904E-2</v>
      </c>
      <c r="N79" s="570">
        <v>1.6999999999999904E-2</v>
      </c>
    </row>
    <row r="80" spans="2:14" x14ac:dyDescent="0.25">
      <c r="B80" s="562">
        <v>2023</v>
      </c>
      <c r="C80" s="563">
        <v>40631.229368905966</v>
      </c>
      <c r="D80" s="564">
        <v>40631.229368905966</v>
      </c>
      <c r="E80" s="564">
        <v>40631.229368905966</v>
      </c>
      <c r="F80" s="565">
        <v>40631.229368905966</v>
      </c>
      <c r="G80" s="566">
        <v>3.6288000000000098E-2</v>
      </c>
      <c r="H80" s="567">
        <v>3.6288000000000098E-2</v>
      </c>
      <c r="I80" s="567">
        <v>3.6288000000000098E-2</v>
      </c>
      <c r="J80" s="568">
        <v>3.6288000000000098E-2</v>
      </c>
      <c r="K80" s="569">
        <v>2.4000000000000021E-2</v>
      </c>
      <c r="L80" s="567">
        <v>2.4000000000000021E-2</v>
      </c>
      <c r="M80" s="567">
        <v>2.4000000000000021E-2</v>
      </c>
      <c r="N80" s="570">
        <v>2.4000000000000021E-2</v>
      </c>
    </row>
    <row r="81" spans="2:14" x14ac:dyDescent="0.25">
      <c r="B81" s="562">
        <v>2024</v>
      </c>
      <c r="C81" s="563">
        <v>41735.586183152831</v>
      </c>
      <c r="D81" s="564">
        <v>41735.586183152831</v>
      </c>
      <c r="E81" s="564">
        <v>41735.586183152831</v>
      </c>
      <c r="F81" s="565">
        <v>41735.586183152831</v>
      </c>
      <c r="G81" s="566">
        <v>2.7179999999999982E-2</v>
      </c>
      <c r="H81" s="567">
        <v>2.7179999999999982E-2</v>
      </c>
      <c r="I81" s="567">
        <v>2.7179999999999982E-2</v>
      </c>
      <c r="J81" s="568">
        <v>2.7179999999999982E-2</v>
      </c>
      <c r="K81" s="569">
        <v>1.2000000000000011E-2</v>
      </c>
      <c r="L81" s="567">
        <v>1.2000000000000011E-2</v>
      </c>
      <c r="M81" s="567">
        <v>1.2000000000000011E-2</v>
      </c>
      <c r="N81" s="570">
        <v>1.2000000000000011E-2</v>
      </c>
    </row>
    <row r="82" spans="2:14" x14ac:dyDescent="0.25">
      <c r="B82" s="562">
        <v>2025</v>
      </c>
      <c r="C82" s="563">
        <v>42933.084489712943</v>
      </c>
      <c r="D82" s="564">
        <v>42933.084489712943</v>
      </c>
      <c r="E82" s="564">
        <v>42933.084489712943</v>
      </c>
      <c r="F82" s="565">
        <v>42933.084489712943</v>
      </c>
      <c r="G82" s="566">
        <v>2.869250000000001E-2</v>
      </c>
      <c r="H82" s="567">
        <v>2.869250000000001E-2</v>
      </c>
      <c r="I82" s="567">
        <v>2.869250000000001E-2</v>
      </c>
      <c r="J82" s="568">
        <v>2.869250000000001E-2</v>
      </c>
      <c r="K82" s="569">
        <v>1.0999999999999899E-2</v>
      </c>
      <c r="L82" s="567">
        <v>1.0999999999999899E-2</v>
      </c>
      <c r="M82" s="567">
        <v>1.0999999999999899E-2</v>
      </c>
      <c r="N82" s="570">
        <v>1.0999999999999899E-2</v>
      </c>
    </row>
    <row r="83" spans="2:14" x14ac:dyDescent="0.25">
      <c r="B83" s="562">
        <v>2026</v>
      </c>
      <c r="C83" s="563">
        <v>44121.25760296575</v>
      </c>
      <c r="D83" s="564">
        <v>44121.25760296575</v>
      </c>
      <c r="E83" s="564">
        <v>44121.25760296575</v>
      </c>
      <c r="F83" s="565">
        <v>44121.25760296575</v>
      </c>
      <c r="G83" s="566">
        <v>2.7675000000000116E-2</v>
      </c>
      <c r="H83" s="567">
        <v>2.7675000000000116E-2</v>
      </c>
      <c r="I83" s="567">
        <v>2.7675000000000116E-2</v>
      </c>
      <c r="J83" s="568">
        <v>2.7675000000000116E-2</v>
      </c>
      <c r="K83" s="569">
        <v>1.0000000000000009E-2</v>
      </c>
      <c r="L83" s="567">
        <v>1.0000000000000009E-2</v>
      </c>
      <c r="M83" s="567">
        <v>1.0000000000000009E-2</v>
      </c>
      <c r="N83" s="570">
        <v>1.0000000000000009E-2</v>
      </c>
    </row>
    <row r="84" spans="2:14" x14ac:dyDescent="0.25">
      <c r="B84" s="562">
        <v>2027</v>
      </c>
      <c r="C84" s="563">
        <v>45342.313407127833</v>
      </c>
      <c r="D84" s="564">
        <v>45342.313407127833</v>
      </c>
      <c r="E84" s="564">
        <v>45342.313407127833</v>
      </c>
      <c r="F84" s="565">
        <v>45342.313407127833</v>
      </c>
      <c r="G84" s="566">
        <v>2.7675000000000116E-2</v>
      </c>
      <c r="H84" s="567">
        <v>2.7675000000000116E-2</v>
      </c>
      <c r="I84" s="567">
        <v>2.7675000000000116E-2</v>
      </c>
      <c r="J84" s="568">
        <v>2.7675000000000116E-2</v>
      </c>
      <c r="K84" s="569">
        <v>1.0000000000000009E-2</v>
      </c>
      <c r="L84" s="567">
        <v>1.0000000000000009E-2</v>
      </c>
      <c r="M84" s="567">
        <v>1.0000000000000009E-2</v>
      </c>
      <c r="N84" s="570">
        <v>1.0000000000000009E-2</v>
      </c>
    </row>
    <row r="85" spans="2:14" x14ac:dyDescent="0.25">
      <c r="B85" s="562">
        <v>2028</v>
      </c>
      <c r="C85" s="563">
        <v>46629.45699339432</v>
      </c>
      <c r="D85" s="564">
        <v>46601.775511059277</v>
      </c>
      <c r="E85" s="564">
        <v>46583.321189502574</v>
      </c>
      <c r="F85" s="565">
        <v>46555.639707167531</v>
      </c>
      <c r="G85" s="566">
        <v>2.8387249999999975E-2</v>
      </c>
      <c r="H85" s="567">
        <v>2.7776750000000128E-2</v>
      </c>
      <c r="I85" s="567">
        <v>2.7369750000000082E-2</v>
      </c>
      <c r="J85" s="568">
        <v>2.6759250000000234E-2</v>
      </c>
      <c r="K85" s="569">
        <v>1.0699999999999932E-2</v>
      </c>
      <c r="L85" s="567">
        <v>1.0099999999999998E-2</v>
      </c>
      <c r="M85" s="567">
        <v>9.7000000000000419E-3</v>
      </c>
      <c r="N85" s="570">
        <v>9.100000000000108E-3</v>
      </c>
    </row>
    <row r="86" spans="2:14" x14ac:dyDescent="0.25">
      <c r="B86" s="562">
        <v>2029</v>
      </c>
      <c r="C86" s="563">
        <v>48029.051802415306</v>
      </c>
      <c r="D86" s="564">
        <v>47943.638685568607</v>
      </c>
      <c r="E86" s="564">
        <v>47886.734162215158</v>
      </c>
      <c r="F86" s="565">
        <v>47801.433709001562</v>
      </c>
      <c r="G86" s="566">
        <v>3.001525000000016E-2</v>
      </c>
      <c r="H86" s="567">
        <v>2.8794250000000243E-2</v>
      </c>
      <c r="I86" s="567">
        <v>2.7980250000000151E-2</v>
      </c>
      <c r="J86" s="568">
        <v>2.6759250000000234E-2</v>
      </c>
      <c r="K86" s="569">
        <v>1.2299999999999978E-2</v>
      </c>
      <c r="L86" s="567">
        <v>1.110000000000011E-2</v>
      </c>
      <c r="M86" s="567">
        <v>1.0299999999999976E-2</v>
      </c>
      <c r="N86" s="570">
        <v>9.100000000000108E-3</v>
      </c>
    </row>
    <row r="87" spans="2:14" x14ac:dyDescent="0.25">
      <c r="B87" s="562">
        <v>2030</v>
      </c>
      <c r="C87" s="563">
        <v>49548.847095862089</v>
      </c>
      <c r="D87" s="564">
        <v>49372.922456153115</v>
      </c>
      <c r="E87" s="564">
        <v>49255.85180696351</v>
      </c>
      <c r="F87" s="565">
        <v>49080.56422397917</v>
      </c>
      <c r="G87" s="566">
        <v>3.1643250000000123E-2</v>
      </c>
      <c r="H87" s="567">
        <v>2.9811750000000137E-2</v>
      </c>
      <c r="I87" s="567">
        <v>2.8590749999999998E-2</v>
      </c>
      <c r="J87" s="568">
        <v>2.6759250000000234E-2</v>
      </c>
      <c r="K87" s="569">
        <v>1.3900000000000023E-2</v>
      </c>
      <c r="L87" s="567">
        <v>1.21E-2</v>
      </c>
      <c r="M87" s="567">
        <v>1.089999999999991E-2</v>
      </c>
      <c r="N87" s="570">
        <v>9.100000000000108E-3</v>
      </c>
    </row>
    <row r="88" spans="2:14" x14ac:dyDescent="0.25">
      <c r="B88" s="562">
        <v>2031</v>
      </c>
      <c r="C88" s="563">
        <v>51242.773531528328</v>
      </c>
      <c r="D88" s="564">
        <v>50940.2658795237</v>
      </c>
      <c r="E88" s="564">
        <v>50739.290295833831</v>
      </c>
      <c r="F88" s="565">
        <v>50438.868838877803</v>
      </c>
      <c r="G88" s="566">
        <v>3.4186999999999967E-2</v>
      </c>
      <c r="H88" s="567">
        <v>3.1745000000000134E-2</v>
      </c>
      <c r="I88" s="567">
        <v>3.0116999999999949E-2</v>
      </c>
      <c r="J88" s="568">
        <v>2.7675000000000116E-2</v>
      </c>
      <c r="K88" s="569">
        <v>1.639999999999997E-2</v>
      </c>
      <c r="L88" s="567">
        <v>1.4000000000000012E-2</v>
      </c>
      <c r="M88" s="567">
        <v>1.2399999999999967E-2</v>
      </c>
      <c r="N88" s="570">
        <v>1.0000000000000009E-2</v>
      </c>
    </row>
    <row r="89" spans="2:14" x14ac:dyDescent="0.25">
      <c r="B89" s="562">
        <v>2032</v>
      </c>
      <c r="C89" s="563">
        <v>53078.033465560024</v>
      </c>
      <c r="D89" s="564">
        <v>52609.196340401599</v>
      </c>
      <c r="E89" s="564">
        <v>52298.381838399066</v>
      </c>
      <c r="F89" s="565">
        <v>51834.764533993752</v>
      </c>
      <c r="G89" s="566">
        <v>3.5815000000000152E-2</v>
      </c>
      <c r="H89" s="567">
        <v>3.2762500000000028E-2</v>
      </c>
      <c r="I89" s="567">
        <v>3.0727500000000019E-2</v>
      </c>
      <c r="J89" s="568">
        <v>2.7675000000000116E-2</v>
      </c>
      <c r="K89" s="569">
        <v>1.8000000000000016E-2</v>
      </c>
      <c r="L89" s="567">
        <v>1.4999999999999902E-2</v>
      </c>
      <c r="M89" s="567">
        <v>1.2999999999999901E-2</v>
      </c>
      <c r="N89" s="570">
        <v>1.0000000000000009E-2</v>
      </c>
    </row>
    <row r="90" spans="2:14" x14ac:dyDescent="0.25">
      <c r="B90" s="562">
        <v>2033</v>
      </c>
      <c r="C90" s="563">
        <v>54979.023234129061</v>
      </c>
      <c r="D90" s="564">
        <v>54332.805135504008</v>
      </c>
      <c r="E90" s="564">
        <v>53905.380366338475</v>
      </c>
      <c r="F90" s="565">
        <v>53269.291642472032</v>
      </c>
      <c r="G90" s="566">
        <v>3.5815000000000152E-2</v>
      </c>
      <c r="H90" s="567">
        <v>3.2762500000000028E-2</v>
      </c>
      <c r="I90" s="567">
        <v>3.0727500000000019E-2</v>
      </c>
      <c r="J90" s="568">
        <v>2.7675000000000116E-2</v>
      </c>
      <c r="K90" s="569">
        <v>1.8000000000000016E-2</v>
      </c>
      <c r="L90" s="567">
        <v>1.4999999999999902E-2</v>
      </c>
      <c r="M90" s="567">
        <v>1.2999999999999901E-2</v>
      </c>
      <c r="N90" s="570">
        <v>1.0000000000000009E-2</v>
      </c>
    </row>
    <row r="91" spans="2:14" x14ac:dyDescent="0.25">
      <c r="B91" s="562">
        <v>2034</v>
      </c>
      <c r="C91" s="563">
        <v>56948.096951259402</v>
      </c>
      <c r="D91" s="564">
        <v>56112.883663755958</v>
      </c>
      <c r="E91" s="564">
        <v>55561.75794154514</v>
      </c>
      <c r="F91" s="565">
        <v>54743.519288677453</v>
      </c>
      <c r="G91" s="566">
        <v>3.5815000000000152E-2</v>
      </c>
      <c r="H91" s="567">
        <v>3.2762500000000028E-2</v>
      </c>
      <c r="I91" s="567">
        <v>3.0727500000000019E-2</v>
      </c>
      <c r="J91" s="568">
        <v>2.7675000000000116E-2</v>
      </c>
      <c r="K91" s="569">
        <v>1.8000000000000016E-2</v>
      </c>
      <c r="L91" s="567">
        <v>1.4999999999999902E-2</v>
      </c>
      <c r="M91" s="567">
        <v>1.2999999999999901E-2</v>
      </c>
      <c r="N91" s="570">
        <v>1.0000000000000009E-2</v>
      </c>
    </row>
    <row r="92" spans="2:14" x14ac:dyDescent="0.25">
      <c r="B92" s="562">
        <v>2035</v>
      </c>
      <c r="C92" s="563">
        <v>58987.693043568768</v>
      </c>
      <c r="D92" s="564">
        <v>57951.282014789766</v>
      </c>
      <c r="E92" s="564">
        <v>57269.031858693968</v>
      </c>
      <c r="F92" s="565">
        <v>56258.54618499161</v>
      </c>
      <c r="G92" s="566">
        <v>3.5815000000000152E-2</v>
      </c>
      <c r="H92" s="567">
        <v>3.2762500000000028E-2</v>
      </c>
      <c r="I92" s="567">
        <v>3.0727500000000019E-2</v>
      </c>
      <c r="J92" s="568">
        <v>2.7675000000000116E-2</v>
      </c>
      <c r="K92" s="569">
        <v>1.8000000000000016E-2</v>
      </c>
      <c r="L92" s="567">
        <v>1.4999999999999902E-2</v>
      </c>
      <c r="M92" s="567">
        <v>1.2999999999999901E-2</v>
      </c>
      <c r="N92" s="570">
        <v>1.0000000000000009E-2</v>
      </c>
    </row>
    <row r="93" spans="2:14" x14ac:dyDescent="0.25">
      <c r="B93" s="562">
        <v>2036</v>
      </c>
      <c r="C93" s="563">
        <v>61100.337269924195</v>
      </c>
      <c r="D93" s="564">
        <v>59849.910891799314</v>
      </c>
      <c r="E93" s="564">
        <v>59028.766035131986</v>
      </c>
      <c r="F93" s="565">
        <v>57815.501450661257</v>
      </c>
      <c r="G93" s="566">
        <v>3.5815000000000152E-2</v>
      </c>
      <c r="H93" s="567">
        <v>3.2762500000000028E-2</v>
      </c>
      <c r="I93" s="567">
        <v>3.0727500000000019E-2</v>
      </c>
      <c r="J93" s="568">
        <v>2.7675000000000116E-2</v>
      </c>
      <c r="K93" s="569">
        <v>1.8000000000000016E-2</v>
      </c>
      <c r="L93" s="567">
        <v>1.4999999999999902E-2</v>
      </c>
      <c r="M93" s="567">
        <v>1.2999999999999901E-2</v>
      </c>
      <c r="N93" s="570">
        <v>1.0000000000000009E-2</v>
      </c>
    </row>
    <row r="94" spans="2:14" x14ac:dyDescent="0.25">
      <c r="B94" s="562">
        <v>2037</v>
      </c>
      <c r="C94" s="563">
        <v>63288.645849246539</v>
      </c>
      <c r="D94" s="564">
        <v>61810.743597391891</v>
      </c>
      <c r="E94" s="564">
        <v>60842.572443476507</v>
      </c>
      <c r="F94" s="565">
        <v>59415.545453308318</v>
      </c>
      <c r="G94" s="566">
        <v>3.5815000000000152E-2</v>
      </c>
      <c r="H94" s="567">
        <v>3.2762500000000028E-2</v>
      </c>
      <c r="I94" s="567">
        <v>3.0727500000000019E-2</v>
      </c>
      <c r="J94" s="568">
        <v>2.7675000000000116E-2</v>
      </c>
      <c r="K94" s="569">
        <v>1.8000000000000016E-2</v>
      </c>
      <c r="L94" s="567">
        <v>1.4999999999999902E-2</v>
      </c>
      <c r="M94" s="567">
        <v>1.2999999999999901E-2</v>
      </c>
      <c r="N94" s="570">
        <v>1.0000000000000009E-2</v>
      </c>
    </row>
    <row r="95" spans="2:14" x14ac:dyDescent="0.25">
      <c r="B95" s="562">
        <v>2038</v>
      </c>
      <c r="C95" s="563">
        <v>65555.328700337312</v>
      </c>
      <c r="D95" s="564">
        <v>63835.818084501443</v>
      </c>
      <c r="E95" s="564">
        <v>62712.112588233431</v>
      </c>
      <c r="F95" s="565">
        <v>61059.870673728634</v>
      </c>
      <c r="G95" s="566">
        <v>3.5815000000000152E-2</v>
      </c>
      <c r="H95" s="567">
        <v>3.2762500000000028E-2</v>
      </c>
      <c r="I95" s="567">
        <v>3.0727500000000019E-2</v>
      </c>
      <c r="J95" s="568">
        <v>2.7675000000000116E-2</v>
      </c>
      <c r="K95" s="569">
        <v>1.8000000000000016E-2</v>
      </c>
      <c r="L95" s="567">
        <v>1.4999999999999902E-2</v>
      </c>
      <c r="M95" s="567">
        <v>1.2999999999999901E-2</v>
      </c>
      <c r="N95" s="570">
        <v>1.0000000000000009E-2</v>
      </c>
    </row>
    <row r="96" spans="2:14" x14ac:dyDescent="0.25">
      <c r="B96" s="562">
        <v>2039</v>
      </c>
      <c r="C96" s="563">
        <v>67903.192797739903</v>
      </c>
      <c r="D96" s="564">
        <v>65927.239074494923</v>
      </c>
      <c r="E96" s="564">
        <v>64639.099027788376</v>
      </c>
      <c r="F96" s="565">
        <v>62749.702594624083</v>
      </c>
      <c r="G96" s="566">
        <v>3.5815000000000152E-2</v>
      </c>
      <c r="H96" s="567">
        <v>3.2762500000000028E-2</v>
      </c>
      <c r="I96" s="567">
        <v>3.0727500000000019E-2</v>
      </c>
      <c r="J96" s="568">
        <v>2.7675000000000116E-2</v>
      </c>
      <c r="K96" s="569">
        <v>1.8000000000000016E-2</v>
      </c>
      <c r="L96" s="567">
        <v>1.4999999999999902E-2</v>
      </c>
      <c r="M96" s="567">
        <v>1.2999999999999901E-2</v>
      </c>
      <c r="N96" s="570">
        <v>1.0000000000000009E-2</v>
      </c>
    </row>
    <row r="97" spans="2:14" x14ac:dyDescent="0.25">
      <c r="B97" s="562">
        <v>2040</v>
      </c>
      <c r="C97" s="563">
        <v>70335.145647790967</v>
      </c>
      <c r="D97" s="564">
        <v>68087.180244673058</v>
      </c>
      <c r="E97" s="564">
        <v>66625.296943164751</v>
      </c>
      <c r="F97" s="565">
        <v>64486.300613930311</v>
      </c>
      <c r="G97" s="566">
        <v>3.5815000000000152E-2</v>
      </c>
      <c r="H97" s="567">
        <v>3.2762500000000028E-2</v>
      </c>
      <c r="I97" s="567">
        <v>3.0727500000000019E-2</v>
      </c>
      <c r="J97" s="568">
        <v>2.7675000000000116E-2</v>
      </c>
      <c r="K97" s="569">
        <v>1.8000000000000016E-2</v>
      </c>
      <c r="L97" s="567">
        <v>1.4999999999999902E-2</v>
      </c>
      <c r="M97" s="567">
        <v>1.2999999999999901E-2</v>
      </c>
      <c r="N97" s="570">
        <v>1.0000000000000009E-2</v>
      </c>
    </row>
    <row r="98" spans="2:14" x14ac:dyDescent="0.25">
      <c r="B98" s="562">
        <v>2041</v>
      </c>
      <c r="C98" s="563">
        <v>72854.198889166611</v>
      </c>
      <c r="D98" s="564">
        <v>70317.886487439158</v>
      </c>
      <c r="E98" s="564">
        <v>68672.525754985851</v>
      </c>
      <c r="F98" s="565">
        <v>66270.958983420845</v>
      </c>
      <c r="G98" s="566">
        <v>3.5815000000000152E-2</v>
      </c>
      <c r="H98" s="567">
        <v>3.2762500000000028E-2</v>
      </c>
      <c r="I98" s="567">
        <v>3.0727500000000019E-2</v>
      </c>
      <c r="J98" s="568">
        <v>2.7675000000000116E-2</v>
      </c>
      <c r="K98" s="569">
        <v>1.8000000000000016E-2</v>
      </c>
      <c r="L98" s="567">
        <v>1.4999999999999902E-2</v>
      </c>
      <c r="M98" s="567">
        <v>1.2999999999999901E-2</v>
      </c>
      <c r="N98" s="570">
        <v>1.0000000000000009E-2</v>
      </c>
    </row>
    <row r="99" spans="2:14" x14ac:dyDescent="0.25">
      <c r="B99" s="562">
        <v>2042</v>
      </c>
      <c r="C99" s="563">
        <v>75463.47202238212</v>
      </c>
      <c r="D99" s="564">
        <v>72621.676243483889</v>
      </c>
      <c r="E99" s="564">
        <v>70782.660790122187</v>
      </c>
      <c r="F99" s="565">
        <v>68105.007773287027</v>
      </c>
      <c r="G99" s="566">
        <v>3.5815000000000152E-2</v>
      </c>
      <c r="H99" s="567">
        <v>3.2762500000000028E-2</v>
      </c>
      <c r="I99" s="567">
        <v>3.0727500000000019E-2</v>
      </c>
      <c r="J99" s="568">
        <v>2.7675000000000116E-2</v>
      </c>
      <c r="K99" s="569">
        <v>1.8000000000000016E-2</v>
      </c>
      <c r="L99" s="567">
        <v>1.4999999999999902E-2</v>
      </c>
      <c r="M99" s="567">
        <v>1.2999999999999901E-2</v>
      </c>
      <c r="N99" s="570">
        <v>1.0000000000000009E-2</v>
      </c>
    </row>
    <row r="100" spans="2:14" x14ac:dyDescent="0.25">
      <c r="B100" s="562">
        <v>2043</v>
      </c>
      <c r="C100" s="563">
        <v>78166.196272863745</v>
      </c>
      <c r="D100" s="564">
        <v>75000.943911411028</v>
      </c>
      <c r="E100" s="564">
        <v>72957.634999550661</v>
      </c>
      <c r="F100" s="565">
        <v>69989.813863412754</v>
      </c>
      <c r="G100" s="566">
        <v>3.5815000000000152E-2</v>
      </c>
      <c r="H100" s="567">
        <v>3.2762500000000028E-2</v>
      </c>
      <c r="I100" s="567">
        <v>3.0727500000000019E-2</v>
      </c>
      <c r="J100" s="568">
        <v>2.7675000000000116E-2</v>
      </c>
      <c r="K100" s="569">
        <v>1.8000000000000016E-2</v>
      </c>
      <c r="L100" s="567">
        <v>1.4999999999999902E-2</v>
      </c>
      <c r="M100" s="567">
        <v>1.2999999999999901E-2</v>
      </c>
      <c r="N100" s="570">
        <v>1.0000000000000009E-2</v>
      </c>
    </row>
    <row r="101" spans="2:14" x14ac:dyDescent="0.25">
      <c r="B101" s="562">
        <v>2044</v>
      </c>
      <c r="C101" s="563">
        <v>80965.718592376375</v>
      </c>
      <c r="D101" s="564">
        <v>77458.16233630864</v>
      </c>
      <c r="E101" s="564">
        <v>75199.440728999354</v>
      </c>
      <c r="F101" s="565">
        <v>71926.781962082707</v>
      </c>
      <c r="G101" s="566">
        <v>3.5815000000000152E-2</v>
      </c>
      <c r="H101" s="567">
        <v>3.2762500000000028E-2</v>
      </c>
      <c r="I101" s="567">
        <v>3.0727500000000019E-2</v>
      </c>
      <c r="J101" s="568">
        <v>2.7675000000000116E-2</v>
      </c>
      <c r="K101" s="569">
        <v>1.8000000000000016E-2</v>
      </c>
      <c r="L101" s="567">
        <v>1.4999999999999902E-2</v>
      </c>
      <c r="M101" s="567">
        <v>1.2999999999999901E-2</v>
      </c>
      <c r="N101" s="570">
        <v>1.0000000000000009E-2</v>
      </c>
    </row>
    <row r="102" spans="2:14" x14ac:dyDescent="0.25">
      <c r="B102" s="562">
        <v>2045</v>
      </c>
      <c r="C102" s="563">
        <v>83865.505803762353</v>
      </c>
      <c r="D102" s="564">
        <v>79995.885379851956</v>
      </c>
      <c r="E102" s="564">
        <v>77510.131543999683</v>
      </c>
      <c r="F102" s="565">
        <v>73917.355652883358</v>
      </c>
      <c r="G102" s="566">
        <v>3.5815000000000152E-2</v>
      </c>
      <c r="H102" s="567">
        <v>3.2762500000000028E-2</v>
      </c>
      <c r="I102" s="567">
        <v>3.0727500000000019E-2</v>
      </c>
      <c r="J102" s="568">
        <v>2.7675000000000116E-2</v>
      </c>
      <c r="K102" s="569">
        <v>1.8000000000000016E-2</v>
      </c>
      <c r="L102" s="567">
        <v>1.4999999999999902E-2</v>
      </c>
      <c r="M102" s="567">
        <v>1.2999999999999901E-2</v>
      </c>
      <c r="N102" s="570">
        <v>1.0000000000000009E-2</v>
      </c>
    </row>
    <row r="103" spans="2:14" x14ac:dyDescent="0.25">
      <c r="B103" s="562">
        <v>2046</v>
      </c>
      <c r="C103" s="563">
        <v>86869.148894124111</v>
      </c>
      <c r="D103" s="564">
        <v>82616.750574609352</v>
      </c>
      <c r="E103" s="564">
        <v>79891.824111017937</v>
      </c>
      <c r="F103" s="565">
        <v>75963.018470576906</v>
      </c>
      <c r="G103" s="566">
        <v>3.5815000000000152E-2</v>
      </c>
      <c r="H103" s="567">
        <v>3.2762500000000028E-2</v>
      </c>
      <c r="I103" s="567">
        <v>3.0727500000000019E-2</v>
      </c>
      <c r="J103" s="568">
        <v>2.7675000000000116E-2</v>
      </c>
      <c r="K103" s="569">
        <v>1.8000000000000016E-2</v>
      </c>
      <c r="L103" s="567">
        <v>1.4999999999999902E-2</v>
      </c>
      <c r="M103" s="567">
        <v>1.2999999999999901E-2</v>
      </c>
      <c r="N103" s="570">
        <v>1.0000000000000009E-2</v>
      </c>
    </row>
    <row r="104" spans="2:14" x14ac:dyDescent="0.25">
      <c r="B104" s="562">
        <v>2047</v>
      </c>
      <c r="C104" s="563">
        <v>89980.367461767179</v>
      </c>
      <c r="D104" s="564">
        <v>85323.481865309994</v>
      </c>
      <c r="E104" s="564">
        <v>82346.700136389249</v>
      </c>
      <c r="F104" s="565">
        <v>78065.295006750137</v>
      </c>
      <c r="G104" s="566">
        <v>3.5815000000000152E-2</v>
      </c>
      <c r="H104" s="567">
        <v>3.2762500000000028E-2</v>
      </c>
      <c r="I104" s="567">
        <v>3.0727500000000019E-2</v>
      </c>
      <c r="J104" s="568">
        <v>2.7675000000000116E-2</v>
      </c>
      <c r="K104" s="569">
        <v>1.8000000000000016E-2</v>
      </c>
      <c r="L104" s="567">
        <v>1.4999999999999902E-2</v>
      </c>
      <c r="M104" s="567">
        <v>1.2999999999999901E-2</v>
      </c>
      <c r="N104" s="570">
        <v>1.0000000000000009E-2</v>
      </c>
    </row>
    <row r="105" spans="2:14" x14ac:dyDescent="0.25">
      <c r="B105" s="562">
        <v>2048</v>
      </c>
      <c r="C105" s="563">
        <v>93203.014322410381</v>
      </c>
      <c r="D105" s="564">
        <v>88118.892439922216</v>
      </c>
      <c r="E105" s="564">
        <v>84877.008364830152</v>
      </c>
      <c r="F105" s="565">
        <v>80225.752046061956</v>
      </c>
      <c r="G105" s="566">
        <v>3.5815000000000152E-2</v>
      </c>
      <c r="H105" s="567">
        <v>3.2762500000000028E-2</v>
      </c>
      <c r="I105" s="567">
        <v>3.0727500000000019E-2</v>
      </c>
      <c r="J105" s="568">
        <v>2.7675000000000116E-2</v>
      </c>
      <c r="K105" s="569">
        <v>1.8000000000000016E-2</v>
      </c>
      <c r="L105" s="567">
        <v>1.4999999999999902E-2</v>
      </c>
      <c r="M105" s="567">
        <v>1.2999999999999901E-2</v>
      </c>
      <c r="N105" s="570">
        <v>1.0000000000000009E-2</v>
      </c>
    </row>
    <row r="106" spans="2:14" x14ac:dyDescent="0.25">
      <c r="B106" s="562">
        <v>2049</v>
      </c>
      <c r="C106" s="563">
        <v>96541.080280367518</v>
      </c>
      <c r="D106" s="564">
        <v>91005.887653485173</v>
      </c>
      <c r="E106" s="564">
        <v>87485.066639360477</v>
      </c>
      <c r="F106" s="565">
        <v>82445.999733936726</v>
      </c>
      <c r="G106" s="566">
        <v>3.5815000000000152E-2</v>
      </c>
      <c r="H106" s="567">
        <v>3.2762500000000028E-2</v>
      </c>
      <c r="I106" s="567">
        <v>3.0727500000000019E-2</v>
      </c>
      <c r="J106" s="568">
        <v>2.7675000000000116E-2</v>
      </c>
      <c r="K106" s="569">
        <v>1.8000000000000016E-2</v>
      </c>
      <c r="L106" s="567">
        <v>1.4999999999999902E-2</v>
      </c>
      <c r="M106" s="567">
        <v>1.2999999999999901E-2</v>
      </c>
      <c r="N106" s="570">
        <v>1.0000000000000009E-2</v>
      </c>
    </row>
    <row r="107" spans="2:14" x14ac:dyDescent="0.25">
      <c r="B107" s="562">
        <v>2050</v>
      </c>
      <c r="C107" s="563">
        <v>99998.699070608898</v>
      </c>
      <c r="D107" s="564">
        <v>93987.468047732487</v>
      </c>
      <c r="E107" s="564">
        <v>90173.264024521428</v>
      </c>
      <c r="F107" s="565">
        <v>84727.692776573429</v>
      </c>
      <c r="G107" s="566">
        <v>3.5815000000000152E-2</v>
      </c>
      <c r="H107" s="567">
        <v>3.2762500000000028E-2</v>
      </c>
      <c r="I107" s="567">
        <v>3.0727500000000019E-2</v>
      </c>
      <c r="J107" s="568">
        <v>2.7675000000000116E-2</v>
      </c>
      <c r="K107" s="569">
        <v>1.8000000000000016E-2</v>
      </c>
      <c r="L107" s="567">
        <v>1.4999999999999902E-2</v>
      </c>
      <c r="M107" s="567">
        <v>1.2999999999999901E-2</v>
      </c>
      <c r="N107" s="570">
        <v>1.0000000000000009E-2</v>
      </c>
    </row>
    <row r="108" spans="2:14" x14ac:dyDescent="0.25">
      <c r="B108" s="562">
        <v>2051</v>
      </c>
      <c r="C108" s="563">
        <v>103580.15247782278</v>
      </c>
      <c r="D108" s="564">
        <v>97066.732469646318</v>
      </c>
      <c r="E108" s="564">
        <v>92944.062994834909</v>
      </c>
      <c r="F108" s="565">
        <v>87072.531674165104</v>
      </c>
      <c r="G108" s="566">
        <v>3.5815000000000152E-2</v>
      </c>
      <c r="H108" s="567">
        <v>3.2762500000000028E-2</v>
      </c>
      <c r="I108" s="567">
        <v>3.0727500000000019E-2</v>
      </c>
      <c r="J108" s="568">
        <v>2.7675000000000116E-2</v>
      </c>
      <c r="K108" s="569">
        <v>1.8000000000000016E-2</v>
      </c>
      <c r="L108" s="567">
        <v>1.4999999999999902E-2</v>
      </c>
      <c r="M108" s="567">
        <v>1.2999999999999901E-2</v>
      </c>
      <c r="N108" s="570">
        <v>1.0000000000000009E-2</v>
      </c>
    </row>
    <row r="109" spans="2:14" x14ac:dyDescent="0.25">
      <c r="B109" s="562">
        <v>2052</v>
      </c>
      <c r="C109" s="563">
        <v>107289.87563881601</v>
      </c>
      <c r="D109" s="564">
        <v>100246.88129218311</v>
      </c>
      <c r="E109" s="564">
        <v>95800.001690508696</v>
      </c>
      <c r="F109" s="565">
        <v>89482.263988247636</v>
      </c>
      <c r="G109" s="566">
        <v>3.5815000000000152E-2</v>
      </c>
      <c r="H109" s="567">
        <v>3.2762500000000028E-2</v>
      </c>
      <c r="I109" s="567">
        <v>3.0727500000000019E-2</v>
      </c>
      <c r="J109" s="568">
        <v>2.7675000000000116E-2</v>
      </c>
      <c r="K109" s="569">
        <v>1.8000000000000016E-2</v>
      </c>
      <c r="L109" s="567">
        <v>1.4999999999999902E-2</v>
      </c>
      <c r="M109" s="567">
        <v>1.2999999999999901E-2</v>
      </c>
      <c r="N109" s="570">
        <v>1.0000000000000009E-2</v>
      </c>
    </row>
    <row r="110" spans="2:14" x14ac:dyDescent="0.25">
      <c r="B110" s="562">
        <v>2053</v>
      </c>
      <c r="C110" s="563">
        <v>111132.46253482022</v>
      </c>
      <c r="D110" s="564">
        <v>103531.21974051827</v>
      </c>
      <c r="E110" s="564">
        <v>98743.696242453807</v>
      </c>
      <c r="F110" s="565">
        <v>91958.685644122394</v>
      </c>
      <c r="G110" s="566">
        <v>3.5815000000000152E-2</v>
      </c>
      <c r="H110" s="567">
        <v>3.2762500000000028E-2</v>
      </c>
      <c r="I110" s="567">
        <v>3.0727500000000019E-2</v>
      </c>
      <c r="J110" s="568">
        <v>2.7675000000000116E-2</v>
      </c>
      <c r="K110" s="569">
        <v>1.8000000000000016E-2</v>
      </c>
      <c r="L110" s="567">
        <v>1.4999999999999902E-2</v>
      </c>
      <c r="M110" s="567">
        <v>1.2999999999999901E-2</v>
      </c>
      <c r="N110" s="570">
        <v>1.0000000000000009E-2</v>
      </c>
    </row>
    <row r="111" spans="2:14" x14ac:dyDescent="0.25">
      <c r="B111" s="562">
        <v>2054</v>
      </c>
      <c r="C111" s="563">
        <v>115112.67168050483</v>
      </c>
      <c r="D111" s="564">
        <v>106923.16132726699</v>
      </c>
      <c r="E111" s="564">
        <v>101777.84316874381</v>
      </c>
      <c r="F111" s="565">
        <v>94503.642269323493</v>
      </c>
      <c r="G111" s="566">
        <v>3.5815000000000152E-2</v>
      </c>
      <c r="H111" s="567">
        <v>3.2762500000000028E-2</v>
      </c>
      <c r="I111" s="567">
        <v>3.0727500000000019E-2</v>
      </c>
      <c r="J111" s="568">
        <v>2.7675000000000116E-2</v>
      </c>
      <c r="K111" s="569">
        <v>1.8000000000000016E-2</v>
      </c>
      <c r="L111" s="567">
        <v>1.4999999999999902E-2</v>
      </c>
      <c r="M111" s="567">
        <v>1.2999999999999901E-2</v>
      </c>
      <c r="N111" s="570">
        <v>1.0000000000000009E-2</v>
      </c>
    </row>
    <row r="112" spans="2:14" x14ac:dyDescent="0.25">
      <c r="B112" s="562">
        <v>2055</v>
      </c>
      <c r="C112" s="563">
        <v>119235.43201674214</v>
      </c>
      <c r="D112" s="564">
        <v>110426.23140025158</v>
      </c>
      <c r="E112" s="564">
        <v>104905.22184471138</v>
      </c>
      <c r="F112" s="565">
        <v>97119.030569127033</v>
      </c>
      <c r="G112" s="566">
        <v>3.5815000000000152E-2</v>
      </c>
      <c r="H112" s="567">
        <v>3.2762500000000028E-2</v>
      </c>
      <c r="I112" s="567">
        <v>3.0727500000000019E-2</v>
      </c>
      <c r="J112" s="568">
        <v>2.7675000000000116E-2</v>
      </c>
      <c r="K112" s="569">
        <v>1.8000000000000016E-2</v>
      </c>
      <c r="L112" s="567">
        <v>1.4999999999999902E-2</v>
      </c>
      <c r="M112" s="567">
        <v>1.2999999999999901E-2</v>
      </c>
      <c r="N112" s="570">
        <v>1.0000000000000009E-2</v>
      </c>
    </row>
    <row r="113" spans="2:14" x14ac:dyDescent="0.25">
      <c r="B113" s="562">
        <v>2056</v>
      </c>
      <c r="C113" s="563">
        <v>123505.84901442178</v>
      </c>
      <c r="D113" s="564">
        <v>114044.07080650232</v>
      </c>
      <c r="E113" s="564">
        <v>108128.69704894476</v>
      </c>
      <c r="F113" s="565">
        <v>99806.799740127637</v>
      </c>
      <c r="G113" s="566">
        <v>3.5815000000000152E-2</v>
      </c>
      <c r="H113" s="567">
        <v>3.2762500000000028E-2</v>
      </c>
      <c r="I113" s="567">
        <v>3.0727500000000019E-2</v>
      </c>
      <c r="J113" s="568">
        <v>2.7675000000000116E-2</v>
      </c>
      <c r="K113" s="569">
        <v>1.8000000000000016E-2</v>
      </c>
      <c r="L113" s="567">
        <v>1.4999999999999902E-2</v>
      </c>
      <c r="M113" s="567">
        <v>1.2999999999999901E-2</v>
      </c>
      <c r="N113" s="570">
        <v>1.0000000000000009E-2</v>
      </c>
    </row>
    <row r="114" spans="2:14" x14ac:dyDescent="0.25">
      <c r="B114" s="562">
        <v>2057</v>
      </c>
      <c r="C114" s="563">
        <v>127929.21099687331</v>
      </c>
      <c r="D114" s="564">
        <v>117780.43967630036</v>
      </c>
      <c r="E114" s="564">
        <v>111451.22158751621</v>
      </c>
      <c r="F114" s="565">
        <v>102568.95292293568</v>
      </c>
      <c r="G114" s="566">
        <v>3.5815000000000152E-2</v>
      </c>
      <c r="H114" s="567">
        <v>3.2762500000000028E-2</v>
      </c>
      <c r="I114" s="567">
        <v>3.0727500000000019E-2</v>
      </c>
      <c r="J114" s="568">
        <v>2.7675000000000116E-2</v>
      </c>
      <c r="K114" s="569">
        <v>1.8000000000000016E-2</v>
      </c>
      <c r="L114" s="567">
        <v>1.4999999999999902E-2</v>
      </c>
      <c r="M114" s="567">
        <v>1.2999999999999901E-2</v>
      </c>
      <c r="N114" s="570">
        <v>1.0000000000000009E-2</v>
      </c>
    </row>
    <row r="115" spans="2:14" x14ac:dyDescent="0.25">
      <c r="B115" s="562">
        <v>2058</v>
      </c>
      <c r="C115" s="563">
        <v>132510.99568872634</v>
      </c>
      <c r="D115" s="564">
        <v>121639.22133119515</v>
      </c>
      <c r="E115" s="564">
        <v>114875.83899884661</v>
      </c>
      <c r="F115" s="565">
        <v>105407.54869507795</v>
      </c>
      <c r="G115" s="566">
        <v>3.5815000000000152E-2</v>
      </c>
      <c r="H115" s="567">
        <v>3.2762500000000028E-2</v>
      </c>
      <c r="I115" s="567">
        <v>3.0727500000000019E-2</v>
      </c>
      <c r="J115" s="568">
        <v>2.7675000000000116E-2</v>
      </c>
      <c r="K115" s="569">
        <v>1.8000000000000016E-2</v>
      </c>
      <c r="L115" s="567">
        <v>1.4999999999999902E-2</v>
      </c>
      <c r="M115" s="567">
        <v>1.2999999999999901E-2</v>
      </c>
      <c r="N115" s="570">
        <v>1.0000000000000009E-2</v>
      </c>
    </row>
    <row r="116" spans="2:14" x14ac:dyDescent="0.25">
      <c r="B116" s="562">
        <v>2059</v>
      </c>
      <c r="C116" s="563">
        <v>137256.8769993181</v>
      </c>
      <c r="D116" s="564">
        <v>125624.42632005844</v>
      </c>
      <c r="E116" s="564">
        <v>118405.68634168367</v>
      </c>
      <c r="F116" s="565">
        <v>108324.70260521425</v>
      </c>
      <c r="G116" s="566">
        <v>3.5815000000000152E-2</v>
      </c>
      <c r="H116" s="567">
        <v>3.2762500000000028E-2</v>
      </c>
      <c r="I116" s="567">
        <v>3.0727500000000019E-2</v>
      </c>
      <c r="J116" s="568">
        <v>2.7675000000000116E-2</v>
      </c>
      <c r="K116" s="569">
        <v>1.8000000000000016E-2</v>
      </c>
      <c r="L116" s="567">
        <v>1.4999999999999902E-2</v>
      </c>
      <c r="M116" s="567">
        <v>1.2999999999999901E-2</v>
      </c>
      <c r="N116" s="570">
        <v>1.0000000000000009E-2</v>
      </c>
    </row>
    <row r="117" spans="2:14" x14ac:dyDescent="0.25">
      <c r="B117" s="562">
        <v>2060</v>
      </c>
      <c r="C117" s="563">
        <v>142172.7320490487</v>
      </c>
      <c r="D117" s="564">
        <v>129740.19658736936</v>
      </c>
      <c r="E117" s="564">
        <v>122043.99706874776</v>
      </c>
      <c r="F117" s="565">
        <v>111322.58874981356</v>
      </c>
      <c r="G117" s="566">
        <v>3.5815000000000152E-2</v>
      </c>
      <c r="H117" s="567">
        <v>3.2762500000000028E-2</v>
      </c>
      <c r="I117" s="567">
        <v>3.0727500000000019E-2</v>
      </c>
      <c r="J117" s="568">
        <v>2.7675000000000116E-2</v>
      </c>
      <c r="K117" s="569">
        <v>1.8000000000000016E-2</v>
      </c>
      <c r="L117" s="567">
        <v>1.4999999999999902E-2</v>
      </c>
      <c r="M117" s="567">
        <v>1.2999999999999901E-2</v>
      </c>
      <c r="N117" s="570">
        <v>1.0000000000000009E-2</v>
      </c>
    </row>
    <row r="118" spans="2:14" x14ac:dyDescent="0.25">
      <c r="B118" s="562">
        <v>2061</v>
      </c>
      <c r="C118" s="563">
        <v>147264.64844738541</v>
      </c>
      <c r="D118" s="564">
        <v>133990.80977806303</v>
      </c>
      <c r="E118" s="564">
        <v>125794.10398867771</v>
      </c>
      <c r="F118" s="565">
        <v>114403.44139346466</v>
      </c>
      <c r="G118" s="566">
        <v>3.5815000000000152E-2</v>
      </c>
      <c r="H118" s="567">
        <v>3.2762500000000028E-2</v>
      </c>
      <c r="I118" s="567">
        <v>3.0727500000000019E-2</v>
      </c>
      <c r="J118" s="568">
        <v>2.7675000000000116E-2</v>
      </c>
      <c r="K118" s="569">
        <v>1.8000000000000016E-2</v>
      </c>
      <c r="L118" s="567">
        <v>1.4999999999999902E-2</v>
      </c>
      <c r="M118" s="567">
        <v>1.2999999999999901E-2</v>
      </c>
      <c r="N118" s="570">
        <v>1.0000000000000009E-2</v>
      </c>
    </row>
    <row r="119" spans="2:14" x14ac:dyDescent="0.25">
      <c r="B119" s="562">
        <v>2062</v>
      </c>
      <c r="C119" s="563">
        <v>152538.93183152855</v>
      </c>
      <c r="D119" s="564">
        <v>138380.68368341684</v>
      </c>
      <c r="E119" s="564">
        <v>129659.44231898981</v>
      </c>
      <c r="F119" s="565">
        <v>117569.55663402881</v>
      </c>
      <c r="G119" s="566">
        <v>3.5815000000000152E-2</v>
      </c>
      <c r="H119" s="567">
        <v>3.2762500000000028E-2</v>
      </c>
      <c r="I119" s="567">
        <v>3.0727500000000019E-2</v>
      </c>
      <c r="J119" s="568">
        <v>2.7675000000000116E-2</v>
      </c>
      <c r="K119" s="569">
        <v>1.8000000000000016E-2</v>
      </c>
      <c r="L119" s="567">
        <v>1.4999999999999902E-2</v>
      </c>
      <c r="M119" s="567">
        <v>1.2999999999999901E-2</v>
      </c>
      <c r="N119" s="570">
        <v>1.0000000000000009E-2</v>
      </c>
    </row>
    <row r="120" spans="2:14" x14ac:dyDescent="0.25">
      <c r="B120" s="562">
        <v>2063</v>
      </c>
      <c r="C120" s="563">
        <v>158002.11367507477</v>
      </c>
      <c r="D120" s="564">
        <v>142914.38083259479</v>
      </c>
      <c r="E120" s="564">
        <v>133643.55283284656</v>
      </c>
      <c r="F120" s="565">
        <v>120823.29411387557</v>
      </c>
      <c r="G120" s="566">
        <v>3.5815000000000152E-2</v>
      </c>
      <c r="H120" s="567">
        <v>3.2762500000000028E-2</v>
      </c>
      <c r="I120" s="567">
        <v>3.0727500000000019E-2</v>
      </c>
      <c r="J120" s="568">
        <v>2.7675000000000116E-2</v>
      </c>
      <c r="K120" s="569">
        <v>1.8000000000000016E-2</v>
      </c>
      <c r="L120" s="567">
        <v>1.4999999999999902E-2</v>
      </c>
      <c r="M120" s="567">
        <v>1.2999999999999901E-2</v>
      </c>
      <c r="N120" s="570">
        <v>1.0000000000000009E-2</v>
      </c>
    </row>
    <row r="121" spans="2:14" x14ac:dyDescent="0.25">
      <c r="B121" s="562">
        <v>2064</v>
      </c>
      <c r="C121" s="563">
        <v>163660.9593763476</v>
      </c>
      <c r="D121" s="564">
        <v>147596.6132346227</v>
      </c>
      <c r="E121" s="564">
        <v>137750.08510251786</v>
      </c>
      <c r="F121" s="565">
        <v>124167.07877847709</v>
      </c>
      <c r="G121" s="566">
        <v>3.5815000000000152E-2</v>
      </c>
      <c r="H121" s="567">
        <v>3.2762500000000028E-2</v>
      </c>
      <c r="I121" s="567">
        <v>3.0727500000000019E-2</v>
      </c>
      <c r="J121" s="568">
        <v>2.7675000000000116E-2</v>
      </c>
      <c r="K121" s="569">
        <v>1.8000000000000016E-2</v>
      </c>
      <c r="L121" s="567">
        <v>1.4999999999999902E-2</v>
      </c>
      <c r="M121" s="567">
        <v>1.2999999999999901E-2</v>
      </c>
      <c r="N121" s="570">
        <v>1.0000000000000009E-2</v>
      </c>
    </row>
    <row r="122" spans="2:14" x14ac:dyDescent="0.25">
      <c r="B122" s="562">
        <v>2065</v>
      </c>
      <c r="C122" s="563">
        <v>169522.47663641151</v>
      </c>
      <c r="D122" s="564">
        <v>152432.24727572204</v>
      </c>
      <c r="E122" s="564">
        <v>141982.80084250547</v>
      </c>
      <c r="F122" s="565">
        <v>127603.40268367146</v>
      </c>
      <c r="G122" s="566">
        <v>3.5815000000000152E-2</v>
      </c>
      <c r="H122" s="567">
        <v>3.2762500000000028E-2</v>
      </c>
      <c r="I122" s="567">
        <v>3.0727500000000019E-2</v>
      </c>
      <c r="J122" s="568">
        <v>2.7675000000000116E-2</v>
      </c>
      <c r="K122" s="569">
        <v>1.8000000000000016E-2</v>
      </c>
      <c r="L122" s="567">
        <v>1.4999999999999902E-2</v>
      </c>
      <c r="M122" s="567">
        <v>1.2999999999999901E-2</v>
      </c>
      <c r="N122" s="570">
        <v>1.0000000000000009E-2</v>
      </c>
    </row>
    <row r="123" spans="2:14" x14ac:dyDescent="0.25">
      <c r="B123" s="562">
        <v>2066</v>
      </c>
      <c r="C123" s="563">
        <v>175593.92413714461</v>
      </c>
      <c r="D123" s="564">
        <v>157426.3087770929</v>
      </c>
      <c r="E123" s="564">
        <v>146345.57735539356</v>
      </c>
      <c r="F123" s="565">
        <v>131134.82685294209</v>
      </c>
      <c r="G123" s="566">
        <v>3.5815000000000152E-2</v>
      </c>
      <c r="H123" s="567">
        <v>3.2762500000000028E-2</v>
      </c>
      <c r="I123" s="567">
        <v>3.0727500000000019E-2</v>
      </c>
      <c r="J123" s="568">
        <v>2.7675000000000116E-2</v>
      </c>
      <c r="K123" s="569">
        <v>1.8000000000000016E-2</v>
      </c>
      <c r="L123" s="567">
        <v>1.4999999999999902E-2</v>
      </c>
      <c r="M123" s="567">
        <v>1.2999999999999901E-2</v>
      </c>
      <c r="N123" s="570">
        <v>1.0000000000000009E-2</v>
      </c>
    </row>
    <row r="124" spans="2:14" x14ac:dyDescent="0.25">
      <c r="B124" s="562">
        <v>2067</v>
      </c>
      <c r="C124" s="563">
        <v>181882.82053011647</v>
      </c>
      <c r="D124" s="564">
        <v>162583.9882184024</v>
      </c>
      <c r="E124" s="564">
        <v>150842.41108358142</v>
      </c>
      <c r="F124" s="565">
        <v>134763.98318609726</v>
      </c>
      <c r="G124" s="566">
        <v>3.5815000000000152E-2</v>
      </c>
      <c r="H124" s="567">
        <v>3.2762500000000028E-2</v>
      </c>
      <c r="I124" s="567">
        <v>3.0727500000000019E-2</v>
      </c>
      <c r="J124" s="568">
        <v>2.7675000000000116E-2</v>
      </c>
      <c r="K124" s="569">
        <v>1.8000000000000016E-2</v>
      </c>
      <c r="L124" s="567">
        <v>1.4999999999999902E-2</v>
      </c>
      <c r="M124" s="567">
        <v>1.2999999999999901E-2</v>
      </c>
      <c r="N124" s="570">
        <v>1.0000000000000009E-2</v>
      </c>
    </row>
    <row r="125" spans="2:14" x14ac:dyDescent="0.25">
      <c r="B125" s="562">
        <v>2068</v>
      </c>
      <c r="C125" s="563">
        <v>188396.95374740261</v>
      </c>
      <c r="D125" s="564">
        <v>167910.64613240783</v>
      </c>
      <c r="E125" s="564">
        <v>155477.42127015218</v>
      </c>
      <c r="F125" s="565">
        <v>138493.57642077253</v>
      </c>
      <c r="G125" s="566">
        <v>3.5815000000000152E-2</v>
      </c>
      <c r="H125" s="567">
        <v>3.2762500000000028E-2</v>
      </c>
      <c r="I125" s="567">
        <v>3.0727500000000019E-2</v>
      </c>
      <c r="J125" s="568">
        <v>2.7675000000000116E-2</v>
      </c>
      <c r="K125" s="569">
        <v>1.8000000000000016E-2</v>
      </c>
      <c r="L125" s="567">
        <v>1.4999999999999902E-2</v>
      </c>
      <c r="M125" s="567">
        <v>1.2999999999999901E-2</v>
      </c>
      <c r="N125" s="570">
        <v>1.0000000000000009E-2</v>
      </c>
    </row>
    <row r="126" spans="2:14" x14ac:dyDescent="0.25">
      <c r="B126" s="562">
        <v>2069</v>
      </c>
      <c r="C126" s="563">
        <v>195144.39064586587</v>
      </c>
      <c r="D126" s="564">
        <v>173411.81867632084</v>
      </c>
      <c r="E126" s="564">
        <v>160254.85373223078</v>
      </c>
      <c r="F126" s="565">
        <v>142326.38614821743</v>
      </c>
      <c r="G126" s="566">
        <v>3.5815000000000152E-2</v>
      </c>
      <c r="H126" s="567">
        <v>3.2762500000000028E-2</v>
      </c>
      <c r="I126" s="567">
        <v>3.0727500000000019E-2</v>
      </c>
      <c r="J126" s="568">
        <v>2.7675000000000116E-2</v>
      </c>
      <c r="K126" s="569">
        <v>1.8000000000000016E-2</v>
      </c>
      <c r="L126" s="567">
        <v>1.4999999999999902E-2</v>
      </c>
      <c r="M126" s="567">
        <v>1.2999999999999901E-2</v>
      </c>
      <c r="N126" s="570">
        <v>1.0000000000000009E-2</v>
      </c>
    </row>
    <row r="127" spans="2:14" ht="15.75" thickBot="1" x14ac:dyDescent="0.3">
      <c r="B127" s="571">
        <v>2070</v>
      </c>
      <c r="C127" s="572">
        <v>202133.48699684758</v>
      </c>
      <c r="D127" s="573">
        <v>179093.22338570381</v>
      </c>
      <c r="E127" s="573">
        <v>165179.0847502879</v>
      </c>
      <c r="F127" s="574">
        <v>146265.26888486935</v>
      </c>
      <c r="G127" s="575">
        <v>3.5815000000000152E-2</v>
      </c>
      <c r="H127" s="576">
        <v>3.2762500000000028E-2</v>
      </c>
      <c r="I127" s="576">
        <v>3.0727500000000019E-2</v>
      </c>
      <c r="J127" s="577">
        <v>2.7675000000000116E-2</v>
      </c>
      <c r="K127" s="578">
        <v>1.8000000000000016E-2</v>
      </c>
      <c r="L127" s="576">
        <v>1.4999999999999902E-2</v>
      </c>
      <c r="M127" s="576">
        <v>1.2999999999999901E-2</v>
      </c>
      <c r="N127" s="579">
        <v>1.0000000000000009E-2</v>
      </c>
    </row>
    <row r="128" spans="2:14" x14ac:dyDescent="0.25">
      <c r="C128" s="580"/>
      <c r="D128" s="580"/>
      <c r="E128" s="580"/>
      <c r="F128" s="580"/>
      <c r="G128" s="581"/>
      <c r="H128" s="581"/>
      <c r="I128" s="581"/>
      <c r="J128" s="581"/>
    </row>
    <row r="129" spans="3:10" x14ac:dyDescent="0.25">
      <c r="C129" s="580"/>
      <c r="D129" s="580"/>
      <c r="E129" s="580"/>
      <c r="F129" s="580"/>
      <c r="G129" s="581"/>
      <c r="H129" s="581"/>
      <c r="I129" s="581"/>
      <c r="J129" s="581"/>
    </row>
    <row r="130" spans="3:10" x14ac:dyDescent="0.25">
      <c r="C130" s="580"/>
      <c r="D130" s="580"/>
      <c r="E130" s="580"/>
      <c r="F130" s="580"/>
      <c r="G130" s="581"/>
      <c r="H130" s="581"/>
      <c r="I130" s="581"/>
      <c r="J130" s="581"/>
    </row>
    <row r="131" spans="3:10" x14ac:dyDescent="0.25">
      <c r="C131" s="580"/>
      <c r="D131" s="580"/>
      <c r="E131" s="580"/>
      <c r="F131" s="580"/>
      <c r="G131" s="581"/>
      <c r="H131" s="581"/>
      <c r="I131" s="581"/>
      <c r="J131" s="581"/>
    </row>
    <row r="132" spans="3:10" x14ac:dyDescent="0.25">
      <c r="C132" s="580"/>
      <c r="D132" s="580"/>
      <c r="E132" s="580"/>
      <c r="F132" s="580"/>
      <c r="G132" s="581"/>
      <c r="H132" s="581"/>
      <c r="I132" s="581"/>
      <c r="J132" s="581"/>
    </row>
    <row r="133" spans="3:10" x14ac:dyDescent="0.25">
      <c r="C133" s="580"/>
      <c r="D133" s="580"/>
      <c r="E133" s="580"/>
      <c r="F133" s="580"/>
      <c r="G133" s="581"/>
      <c r="H133" s="581"/>
      <c r="I133" s="581"/>
      <c r="J133" s="581"/>
    </row>
    <row r="134" spans="3:10" x14ac:dyDescent="0.25">
      <c r="C134" s="580"/>
      <c r="D134" s="580"/>
      <c r="E134" s="580"/>
      <c r="F134" s="580"/>
      <c r="G134" s="581"/>
      <c r="H134" s="581"/>
      <c r="I134" s="581"/>
      <c r="J134" s="581"/>
    </row>
    <row r="135" spans="3:10" x14ac:dyDescent="0.25">
      <c r="C135" s="580"/>
      <c r="D135" s="580"/>
      <c r="E135" s="580"/>
      <c r="F135" s="580"/>
      <c r="G135" s="581"/>
      <c r="H135" s="581"/>
      <c r="I135" s="581"/>
      <c r="J135" s="581"/>
    </row>
    <row r="136" spans="3:10" x14ac:dyDescent="0.25">
      <c r="C136" s="580"/>
      <c r="D136" s="580"/>
      <c r="E136" s="580"/>
      <c r="F136" s="580"/>
      <c r="G136" s="581"/>
      <c r="H136" s="581"/>
      <c r="I136" s="581"/>
      <c r="J136" s="581"/>
    </row>
    <row r="137" spans="3:10" x14ac:dyDescent="0.25">
      <c r="C137" s="580"/>
      <c r="D137" s="580"/>
      <c r="E137" s="580"/>
      <c r="F137" s="580"/>
      <c r="G137" s="581"/>
      <c r="H137" s="581"/>
      <c r="I137" s="581"/>
      <c r="J137" s="581"/>
    </row>
    <row r="138" spans="3:10" x14ac:dyDescent="0.25">
      <c r="C138" s="580"/>
      <c r="D138" s="580"/>
      <c r="E138" s="580"/>
      <c r="F138" s="580"/>
      <c r="G138" s="581"/>
      <c r="H138" s="581"/>
      <c r="I138" s="581"/>
      <c r="J138" s="581"/>
    </row>
    <row r="139" spans="3:10" x14ac:dyDescent="0.25">
      <c r="C139" s="580"/>
      <c r="D139" s="580"/>
      <c r="E139" s="580"/>
      <c r="F139" s="580"/>
      <c r="G139" s="581"/>
      <c r="H139" s="581"/>
      <c r="I139" s="581"/>
      <c r="J139" s="581"/>
    </row>
    <row r="140" spans="3:10" x14ac:dyDescent="0.25">
      <c r="C140" s="580"/>
      <c r="D140" s="580"/>
      <c r="E140" s="580"/>
      <c r="F140" s="580"/>
      <c r="G140" s="581"/>
      <c r="H140" s="581"/>
      <c r="I140" s="581"/>
      <c r="J140" s="581"/>
    </row>
    <row r="141" spans="3:10" x14ac:dyDescent="0.25">
      <c r="C141" s="580"/>
      <c r="D141" s="580"/>
      <c r="E141" s="580"/>
      <c r="F141" s="580"/>
      <c r="G141" s="581"/>
      <c r="H141" s="581"/>
      <c r="I141" s="581"/>
      <c r="J141" s="581"/>
    </row>
    <row r="142" spans="3:10" x14ac:dyDescent="0.25">
      <c r="C142" s="580"/>
      <c r="D142" s="580"/>
      <c r="E142" s="580"/>
      <c r="F142" s="580"/>
      <c r="G142" s="581"/>
      <c r="H142" s="581"/>
      <c r="I142" s="581"/>
      <c r="J142" s="581"/>
    </row>
    <row r="143" spans="3:10" x14ac:dyDescent="0.25">
      <c r="C143" s="580"/>
      <c r="D143" s="580"/>
      <c r="E143" s="580"/>
      <c r="F143" s="580"/>
      <c r="G143" s="581"/>
      <c r="H143" s="581"/>
      <c r="I143" s="581"/>
      <c r="J143" s="581"/>
    </row>
    <row r="144" spans="3:10" x14ac:dyDescent="0.25">
      <c r="C144" s="580"/>
      <c r="D144" s="580"/>
      <c r="E144" s="580"/>
      <c r="F144" s="580"/>
      <c r="G144" s="581"/>
      <c r="H144" s="581"/>
      <c r="I144" s="581"/>
      <c r="J144" s="581"/>
    </row>
    <row r="145" spans="3:10" x14ac:dyDescent="0.25">
      <c r="C145" s="580"/>
      <c r="D145" s="580"/>
      <c r="E145" s="580"/>
      <c r="F145" s="580"/>
      <c r="G145" s="581"/>
      <c r="H145" s="581"/>
      <c r="I145" s="581"/>
      <c r="J145" s="581"/>
    </row>
    <row r="146" spans="3:10" x14ac:dyDescent="0.25">
      <c r="C146" s="580"/>
      <c r="D146" s="580"/>
      <c r="E146" s="580"/>
      <c r="F146" s="580"/>
      <c r="G146" s="581"/>
      <c r="H146" s="581"/>
      <c r="I146" s="581"/>
      <c r="J146" s="581"/>
    </row>
    <row r="147" spans="3:10" x14ac:dyDescent="0.25">
      <c r="C147" s="580"/>
      <c r="D147" s="580"/>
      <c r="E147" s="580"/>
      <c r="F147" s="580"/>
      <c r="G147" s="581"/>
      <c r="H147" s="581"/>
      <c r="I147" s="581"/>
      <c r="J147" s="581"/>
    </row>
    <row r="148" spans="3:10" x14ac:dyDescent="0.25">
      <c r="C148" s="580"/>
      <c r="D148" s="580"/>
      <c r="E148" s="580"/>
      <c r="F148" s="580"/>
      <c r="G148" s="581"/>
      <c r="H148" s="581"/>
      <c r="I148" s="581"/>
      <c r="J148" s="581"/>
    </row>
    <row r="149" spans="3:10" x14ac:dyDescent="0.25">
      <c r="C149" s="580"/>
      <c r="D149" s="580"/>
      <c r="E149" s="580"/>
      <c r="F149" s="580"/>
      <c r="G149" s="581"/>
      <c r="H149" s="581"/>
      <c r="I149" s="581"/>
      <c r="J149" s="581"/>
    </row>
    <row r="150" spans="3:10" x14ac:dyDescent="0.25">
      <c r="C150" s="580"/>
      <c r="D150" s="580"/>
      <c r="E150" s="580"/>
      <c r="F150" s="580"/>
      <c r="G150" s="581"/>
      <c r="H150" s="581"/>
      <c r="I150" s="581"/>
      <c r="J150" s="581"/>
    </row>
    <row r="151" spans="3:10" x14ac:dyDescent="0.25">
      <c r="C151" s="580"/>
      <c r="D151" s="580"/>
      <c r="E151" s="580"/>
      <c r="F151" s="580"/>
      <c r="G151" s="581"/>
      <c r="H151" s="581"/>
      <c r="I151" s="581"/>
      <c r="J151" s="581"/>
    </row>
    <row r="152" spans="3:10" x14ac:dyDescent="0.25">
      <c r="C152" s="580"/>
      <c r="D152" s="580"/>
      <c r="E152" s="580"/>
      <c r="F152" s="580"/>
      <c r="G152" s="581"/>
      <c r="H152" s="581"/>
      <c r="I152" s="581"/>
      <c r="J152" s="581"/>
    </row>
    <row r="153" spans="3:10" x14ac:dyDescent="0.25">
      <c r="C153" s="580"/>
      <c r="D153" s="580"/>
      <c r="E153" s="580"/>
      <c r="F153" s="580"/>
      <c r="G153" s="581"/>
      <c r="H153" s="581"/>
      <c r="I153" s="581"/>
      <c r="J153" s="581"/>
    </row>
    <row r="154" spans="3:10" x14ac:dyDescent="0.25">
      <c r="C154" s="580"/>
      <c r="D154" s="580"/>
      <c r="E154" s="580"/>
      <c r="F154" s="580"/>
      <c r="G154" s="581"/>
      <c r="H154" s="581"/>
      <c r="I154" s="581"/>
      <c r="J154" s="581"/>
    </row>
    <row r="155" spans="3:10" x14ac:dyDescent="0.25">
      <c r="C155" s="580"/>
      <c r="D155" s="580"/>
      <c r="E155" s="580"/>
      <c r="F155" s="580"/>
      <c r="G155" s="581"/>
      <c r="H155" s="581"/>
      <c r="I155" s="581"/>
      <c r="J155" s="581"/>
    </row>
    <row r="156" spans="3:10" x14ac:dyDescent="0.25">
      <c r="C156" s="580"/>
      <c r="D156" s="580"/>
      <c r="E156" s="580"/>
      <c r="F156" s="580"/>
      <c r="G156" s="581"/>
      <c r="H156" s="581"/>
      <c r="I156" s="581"/>
      <c r="J156" s="581"/>
    </row>
    <row r="157" spans="3:10" x14ac:dyDescent="0.25">
      <c r="C157" s="580"/>
      <c r="D157" s="580"/>
      <c r="E157" s="580"/>
      <c r="F157" s="580"/>
      <c r="G157" s="581"/>
      <c r="H157" s="581"/>
      <c r="I157" s="581"/>
      <c r="J157" s="581"/>
    </row>
  </sheetData>
  <mergeCells count="4">
    <mergeCell ref="B4:B5"/>
    <mergeCell ref="C4:F4"/>
    <mergeCell ref="G4:J4"/>
    <mergeCell ref="K4:N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S140"/>
  <sheetViews>
    <sheetView topLeftCell="A64" workbookViewId="0">
      <selection activeCell="A22" sqref="A1:XFD1048576"/>
    </sheetView>
  </sheetViews>
  <sheetFormatPr baseColWidth="10" defaultColWidth="10.85546875" defaultRowHeight="12.75" x14ac:dyDescent="0.2"/>
  <cols>
    <col min="1" max="1" width="1.85546875" style="584" customWidth="1"/>
    <col min="2" max="2" width="9.7109375" style="584" customWidth="1"/>
    <col min="3" max="18" width="13.140625" style="584" customWidth="1"/>
    <col min="19" max="16384" width="10.85546875" style="584"/>
  </cols>
  <sheetData>
    <row r="1" spans="2:19" ht="23.25" x14ac:dyDescent="0.35">
      <c r="B1" s="582" t="s">
        <v>349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</row>
    <row r="2" spans="2:19" ht="15" x14ac:dyDescent="0.25">
      <c r="B2" s="583" t="s">
        <v>350</v>
      </c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</row>
    <row r="3" spans="2:19" ht="15.75" thickBot="1" x14ac:dyDescent="0.3"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</row>
    <row r="4" spans="2:19" ht="19.5" customHeight="1" x14ac:dyDescent="0.2">
      <c r="B4" s="830" t="s">
        <v>10</v>
      </c>
      <c r="C4" s="832" t="s">
        <v>351</v>
      </c>
      <c r="D4" s="833"/>
      <c r="E4" s="833"/>
      <c r="F4" s="834"/>
      <c r="G4" s="832" t="s">
        <v>352</v>
      </c>
      <c r="H4" s="833"/>
      <c r="I4" s="833"/>
      <c r="J4" s="834"/>
      <c r="K4" s="832" t="s">
        <v>314</v>
      </c>
      <c r="L4" s="835"/>
      <c r="M4" s="835"/>
      <c r="N4" s="836"/>
      <c r="O4" s="837" t="s">
        <v>325</v>
      </c>
      <c r="P4" s="835"/>
      <c r="Q4" s="835"/>
      <c r="R4" s="838"/>
    </row>
    <row r="5" spans="2:19" ht="30.75" customHeight="1" thickBot="1" x14ac:dyDescent="0.25">
      <c r="B5" s="831"/>
      <c r="C5" s="422" t="s">
        <v>316</v>
      </c>
      <c r="D5" s="585" t="s">
        <v>317</v>
      </c>
      <c r="E5" s="536" t="s">
        <v>318</v>
      </c>
      <c r="F5" s="586" t="s">
        <v>319</v>
      </c>
      <c r="G5" s="422" t="s">
        <v>316</v>
      </c>
      <c r="H5" s="585" t="s">
        <v>317</v>
      </c>
      <c r="I5" s="536" t="s">
        <v>318</v>
      </c>
      <c r="J5" s="586" t="s">
        <v>319</v>
      </c>
      <c r="K5" s="422" t="s">
        <v>316</v>
      </c>
      <c r="L5" s="585" t="s">
        <v>317</v>
      </c>
      <c r="M5" s="536" t="s">
        <v>318</v>
      </c>
      <c r="N5" s="586" t="s">
        <v>319</v>
      </c>
      <c r="O5" s="419" t="s">
        <v>316</v>
      </c>
      <c r="P5" s="585" t="s">
        <v>317</v>
      </c>
      <c r="Q5" s="536" t="s">
        <v>318</v>
      </c>
      <c r="R5" s="587" t="s">
        <v>319</v>
      </c>
    </row>
    <row r="6" spans="2:19" ht="15" customHeight="1" x14ac:dyDescent="0.25">
      <c r="B6" s="588">
        <v>1951</v>
      </c>
      <c r="C6" s="589">
        <v>281.59680780946616</v>
      </c>
      <c r="D6" s="590">
        <f t="shared" ref="D6:F21" si="0">C6</f>
        <v>281.59680780946616</v>
      </c>
      <c r="E6" s="590">
        <f t="shared" si="0"/>
        <v>281.59680780946616</v>
      </c>
      <c r="F6" s="591">
        <f t="shared" si="0"/>
        <v>281.59680780946616</v>
      </c>
      <c r="G6" s="592">
        <f>C6*Prix!C$73/Prix!C8</f>
        <v>4442.5776702917037</v>
      </c>
      <c r="H6" s="590">
        <f>D6*Prix!D$73/Prix!D8</f>
        <v>4442.5776702917037</v>
      </c>
      <c r="I6" s="590">
        <f>E6*Prix!E$73/Prix!E8</f>
        <v>4442.5776702917037</v>
      </c>
      <c r="J6" s="591">
        <f>F6*Prix!F$73/Prix!F8</f>
        <v>4442.5776702917037</v>
      </c>
      <c r="K6" s="593"/>
      <c r="L6" s="594"/>
      <c r="M6" s="594"/>
      <c r="N6" s="595"/>
      <c r="O6" s="596"/>
      <c r="P6" s="594"/>
      <c r="Q6" s="594"/>
      <c r="R6" s="597"/>
      <c r="S6" s="598"/>
    </row>
    <row r="7" spans="2:19" ht="15" customHeight="1" x14ac:dyDescent="0.25">
      <c r="B7" s="588">
        <v>1952</v>
      </c>
      <c r="C7" s="589">
        <v>317.09395585381361</v>
      </c>
      <c r="D7" s="590">
        <f t="shared" si="0"/>
        <v>317.09395585381361</v>
      </c>
      <c r="E7" s="590">
        <f t="shared" si="0"/>
        <v>317.09395585381361</v>
      </c>
      <c r="F7" s="591">
        <f t="shared" si="0"/>
        <v>317.09395585381361</v>
      </c>
      <c r="G7" s="592">
        <f>C7*Prix!C$73/Prix!C9</f>
        <v>4467.8582978108361</v>
      </c>
      <c r="H7" s="590">
        <f>D7*Prix!D$73/Prix!D9</f>
        <v>4467.8582978108361</v>
      </c>
      <c r="I7" s="590">
        <f>E7*Prix!E$73/Prix!E9</f>
        <v>4467.8582978108361</v>
      </c>
      <c r="J7" s="591">
        <f>F7*Prix!F$73/Prix!F9</f>
        <v>4467.8582978108361</v>
      </c>
      <c r="K7" s="593">
        <f t="shared" ref="K7:R22" si="1">C7/C6-1</f>
        <v>0.12605664219164558</v>
      </c>
      <c r="L7" s="594">
        <f t="shared" si="1"/>
        <v>0.12605664219164558</v>
      </c>
      <c r="M7" s="594">
        <f t="shared" si="1"/>
        <v>0.12605664219164558</v>
      </c>
      <c r="N7" s="595">
        <f t="shared" si="1"/>
        <v>0.12605664219164558</v>
      </c>
      <c r="O7" s="596">
        <f t="shared" si="1"/>
        <v>5.6905313525947854E-3</v>
      </c>
      <c r="P7" s="594">
        <f t="shared" si="1"/>
        <v>5.6905313525947854E-3</v>
      </c>
      <c r="Q7" s="594">
        <f t="shared" si="1"/>
        <v>5.6905313525947854E-3</v>
      </c>
      <c r="R7" s="597">
        <f t="shared" si="1"/>
        <v>5.6905313525947854E-3</v>
      </c>
      <c r="S7" s="598"/>
    </row>
    <row r="8" spans="2:19" ht="15" customHeight="1" x14ac:dyDescent="0.25">
      <c r="B8" s="588">
        <v>1953</v>
      </c>
      <c r="C8" s="589">
        <v>317.09395585381361</v>
      </c>
      <c r="D8" s="590">
        <f t="shared" si="0"/>
        <v>317.09395585381361</v>
      </c>
      <c r="E8" s="590">
        <f t="shared" si="0"/>
        <v>317.09395585381361</v>
      </c>
      <c r="F8" s="591">
        <f t="shared" si="0"/>
        <v>317.09395585381361</v>
      </c>
      <c r="G8" s="592">
        <f>C8*Prix!C$73/Prix!C10</f>
        <v>4544.5597278161722</v>
      </c>
      <c r="H8" s="590">
        <f>D8*Prix!D$73/Prix!D10</f>
        <v>4544.5597278161722</v>
      </c>
      <c r="I8" s="590">
        <f>E8*Prix!E$73/Prix!E10</f>
        <v>4544.5597278161722</v>
      </c>
      <c r="J8" s="591">
        <f>F8*Prix!F$73/Prix!F10</f>
        <v>4544.5597278161722</v>
      </c>
      <c r="K8" s="593">
        <f t="shared" si="1"/>
        <v>0</v>
      </c>
      <c r="L8" s="594">
        <f t="shared" si="1"/>
        <v>0</v>
      </c>
      <c r="M8" s="594">
        <f t="shared" si="1"/>
        <v>0</v>
      </c>
      <c r="N8" s="595">
        <f t="shared" si="1"/>
        <v>0</v>
      </c>
      <c r="O8" s="596">
        <f t="shared" si="1"/>
        <v>1.716738197424883E-2</v>
      </c>
      <c r="P8" s="594">
        <f t="shared" si="1"/>
        <v>1.716738197424883E-2</v>
      </c>
      <c r="Q8" s="594">
        <f t="shared" si="1"/>
        <v>1.716738197424883E-2</v>
      </c>
      <c r="R8" s="597">
        <f t="shared" si="1"/>
        <v>1.716738197424883E-2</v>
      </c>
      <c r="S8" s="598"/>
    </row>
    <row r="9" spans="2:19" ht="15" customHeight="1" x14ac:dyDescent="0.25">
      <c r="B9" s="588">
        <v>1954</v>
      </c>
      <c r="C9" s="589">
        <v>364.33661152321184</v>
      </c>
      <c r="D9" s="590">
        <f t="shared" si="0"/>
        <v>364.33661152321184</v>
      </c>
      <c r="E9" s="590">
        <f t="shared" si="0"/>
        <v>364.33661152321184</v>
      </c>
      <c r="F9" s="591">
        <f t="shared" si="0"/>
        <v>364.33661152321184</v>
      </c>
      <c r="G9" s="592">
        <f>C9*Prix!C$73/Prix!C11</f>
        <v>5199.3221855264046</v>
      </c>
      <c r="H9" s="590">
        <f>D9*Prix!D$73/Prix!D11</f>
        <v>5199.3221855264046</v>
      </c>
      <c r="I9" s="590">
        <f>E9*Prix!E$73/Prix!E11</f>
        <v>5199.3221855264046</v>
      </c>
      <c r="J9" s="591">
        <f>F9*Prix!F$73/Prix!F11</f>
        <v>5199.3221855264046</v>
      </c>
      <c r="K9" s="593">
        <f t="shared" si="1"/>
        <v>0.14898630136986268</v>
      </c>
      <c r="L9" s="594">
        <f t="shared" si="1"/>
        <v>0.14898630136986268</v>
      </c>
      <c r="M9" s="594">
        <f t="shared" si="1"/>
        <v>0.14898630136986268</v>
      </c>
      <c r="N9" s="595">
        <f t="shared" si="1"/>
        <v>0.14898630136986268</v>
      </c>
      <c r="O9" s="596">
        <f t="shared" si="1"/>
        <v>0.14407610350076094</v>
      </c>
      <c r="P9" s="594">
        <f t="shared" si="1"/>
        <v>0.14407610350076094</v>
      </c>
      <c r="Q9" s="594">
        <f t="shared" si="1"/>
        <v>0.14407610350076094</v>
      </c>
      <c r="R9" s="597">
        <f t="shared" si="1"/>
        <v>0.14407610350076094</v>
      </c>
      <c r="S9" s="598"/>
    </row>
    <row r="10" spans="2:19" ht="15" customHeight="1" x14ac:dyDescent="0.25">
      <c r="B10" s="588">
        <v>1955</v>
      </c>
      <c r="C10" s="589">
        <v>395.90266326553615</v>
      </c>
      <c r="D10" s="590">
        <f t="shared" si="0"/>
        <v>395.90266326553615</v>
      </c>
      <c r="E10" s="590">
        <f t="shared" si="0"/>
        <v>395.90266326553615</v>
      </c>
      <c r="F10" s="591">
        <f t="shared" si="0"/>
        <v>395.90266326553615</v>
      </c>
      <c r="G10" s="592">
        <f>C10*Prix!C$73/Prix!C12</f>
        <v>5594.0097046461788</v>
      </c>
      <c r="H10" s="590">
        <f>D10*Prix!D$73/Prix!D12</f>
        <v>5594.0097046461788</v>
      </c>
      <c r="I10" s="590">
        <f>E10*Prix!E$73/Prix!E12</f>
        <v>5594.0097046461788</v>
      </c>
      <c r="J10" s="591">
        <f>F10*Prix!F$73/Prix!F12</f>
        <v>5594.0097046461788</v>
      </c>
      <c r="K10" s="593">
        <f t="shared" si="1"/>
        <v>8.6639801611903655E-2</v>
      </c>
      <c r="L10" s="594">
        <f t="shared" si="1"/>
        <v>8.6639801611903655E-2</v>
      </c>
      <c r="M10" s="594">
        <f t="shared" si="1"/>
        <v>8.6639801611903655E-2</v>
      </c>
      <c r="N10" s="595">
        <f t="shared" si="1"/>
        <v>8.6639801611903655E-2</v>
      </c>
      <c r="O10" s="596">
        <f t="shared" si="1"/>
        <v>7.59113409471881E-2</v>
      </c>
      <c r="P10" s="594">
        <f t="shared" si="1"/>
        <v>7.59113409471881E-2</v>
      </c>
      <c r="Q10" s="594">
        <f t="shared" si="1"/>
        <v>7.59113409471881E-2</v>
      </c>
      <c r="R10" s="597">
        <f t="shared" si="1"/>
        <v>7.59113409471881E-2</v>
      </c>
      <c r="S10" s="598"/>
    </row>
    <row r="11" spans="2:19" ht="15" customHeight="1" x14ac:dyDescent="0.25">
      <c r="B11" s="588">
        <v>1956</v>
      </c>
      <c r="C11" s="589">
        <v>399.53838437580509</v>
      </c>
      <c r="D11" s="590">
        <f t="shared" si="0"/>
        <v>399.53838437580509</v>
      </c>
      <c r="E11" s="590">
        <f t="shared" si="0"/>
        <v>399.53838437580509</v>
      </c>
      <c r="F11" s="591">
        <f t="shared" si="0"/>
        <v>399.53838437580509</v>
      </c>
      <c r="G11" s="592">
        <f>C11*Prix!C$73/Prix!C13</f>
        <v>5423.5440849279339</v>
      </c>
      <c r="H11" s="590">
        <f>D11*Prix!D$73/Prix!D13</f>
        <v>5423.5440849279339</v>
      </c>
      <c r="I11" s="590">
        <f>E11*Prix!E$73/Prix!E13</f>
        <v>5423.5440849279339</v>
      </c>
      <c r="J11" s="591">
        <f>F11*Prix!F$73/Prix!F13</f>
        <v>5423.5440849279339</v>
      </c>
      <c r="K11" s="593">
        <f t="shared" si="1"/>
        <v>9.1833711859383715E-3</v>
      </c>
      <c r="L11" s="594">
        <f t="shared" si="1"/>
        <v>9.1833711859383715E-3</v>
      </c>
      <c r="M11" s="594">
        <f t="shared" si="1"/>
        <v>9.1833711859383715E-3</v>
      </c>
      <c r="N11" s="595">
        <f t="shared" si="1"/>
        <v>9.1833711859383715E-3</v>
      </c>
      <c r="O11" s="596">
        <f t="shared" si="1"/>
        <v>-3.0472885947384509E-2</v>
      </c>
      <c r="P11" s="594">
        <f t="shared" si="1"/>
        <v>-3.0472885947384509E-2</v>
      </c>
      <c r="Q11" s="594">
        <f t="shared" si="1"/>
        <v>-3.0472885947384509E-2</v>
      </c>
      <c r="R11" s="597">
        <f t="shared" si="1"/>
        <v>-3.0472885947384509E-2</v>
      </c>
      <c r="S11" s="598"/>
    </row>
    <row r="12" spans="2:19" ht="15" customHeight="1" x14ac:dyDescent="0.25">
      <c r="B12" s="588">
        <v>1957</v>
      </c>
      <c r="C12" s="589">
        <v>409.44083767936593</v>
      </c>
      <c r="D12" s="590">
        <f t="shared" si="0"/>
        <v>409.44083767936593</v>
      </c>
      <c r="E12" s="590">
        <f t="shared" si="0"/>
        <v>409.44083767936593</v>
      </c>
      <c r="F12" s="591">
        <f t="shared" si="0"/>
        <v>409.44083767936593</v>
      </c>
      <c r="G12" s="592">
        <f>C12*Prix!C$73/Prix!C14</f>
        <v>5389.9846410931514</v>
      </c>
      <c r="H12" s="590">
        <f>D12*Prix!D$73/Prix!D14</f>
        <v>5389.9846410931514</v>
      </c>
      <c r="I12" s="590">
        <f>E12*Prix!E$73/Prix!E14</f>
        <v>5389.9846410931514</v>
      </c>
      <c r="J12" s="591">
        <f>F12*Prix!F$73/Prix!F14</f>
        <v>5389.9846410931514</v>
      </c>
      <c r="K12" s="593">
        <f t="shared" si="1"/>
        <v>2.4784735812133141E-2</v>
      </c>
      <c r="L12" s="594">
        <f t="shared" si="1"/>
        <v>2.4784735812133141E-2</v>
      </c>
      <c r="M12" s="594">
        <f t="shared" si="1"/>
        <v>2.4784735812133141E-2</v>
      </c>
      <c r="N12" s="595">
        <f t="shared" si="1"/>
        <v>2.4784735812133141E-2</v>
      </c>
      <c r="O12" s="596">
        <f t="shared" si="1"/>
        <v>-6.1877332071559321E-3</v>
      </c>
      <c r="P12" s="594">
        <f t="shared" si="1"/>
        <v>-6.1877332071559321E-3</v>
      </c>
      <c r="Q12" s="594">
        <f t="shared" si="1"/>
        <v>-6.1877332071559321E-3</v>
      </c>
      <c r="R12" s="597">
        <f t="shared" si="1"/>
        <v>-6.1877332071559321E-3</v>
      </c>
      <c r="S12" s="598"/>
    </row>
    <row r="13" spans="2:19" ht="15" customHeight="1" x14ac:dyDescent="0.25">
      <c r="B13" s="588">
        <v>1958</v>
      </c>
      <c r="C13" s="589">
        <v>464.5548078337327</v>
      </c>
      <c r="D13" s="590">
        <f t="shared" si="0"/>
        <v>464.5548078337327</v>
      </c>
      <c r="E13" s="590">
        <f t="shared" si="0"/>
        <v>464.5548078337327</v>
      </c>
      <c r="F13" s="591">
        <f t="shared" si="0"/>
        <v>464.5548078337327</v>
      </c>
      <c r="G13" s="592">
        <f>C13*Prix!C$73/Prix!C15</f>
        <v>5318.7543598609536</v>
      </c>
      <c r="H13" s="590">
        <f>D13*Prix!D$73/Prix!D15</f>
        <v>5318.7543598609536</v>
      </c>
      <c r="I13" s="590">
        <f>E13*Prix!E$73/Prix!E15</f>
        <v>5318.7543598609536</v>
      </c>
      <c r="J13" s="591">
        <f>F13*Prix!F$73/Prix!F15</f>
        <v>5318.7543598609536</v>
      </c>
      <c r="K13" s="593">
        <f t="shared" si="1"/>
        <v>0.13460789711828069</v>
      </c>
      <c r="L13" s="594">
        <f t="shared" si="1"/>
        <v>0.13460789711828069</v>
      </c>
      <c r="M13" s="594">
        <f t="shared" si="1"/>
        <v>0.13460789711828069</v>
      </c>
      <c r="N13" s="595">
        <f t="shared" si="1"/>
        <v>0.13460789711828069</v>
      </c>
      <c r="O13" s="596">
        <f t="shared" si="1"/>
        <v>-1.3215303191986716E-2</v>
      </c>
      <c r="P13" s="594">
        <f t="shared" si="1"/>
        <v>-1.3215303191986716E-2</v>
      </c>
      <c r="Q13" s="594">
        <f t="shared" si="1"/>
        <v>-1.3215303191986716E-2</v>
      </c>
      <c r="R13" s="597">
        <f t="shared" si="1"/>
        <v>-1.3215303191986716E-2</v>
      </c>
      <c r="S13" s="598"/>
    </row>
    <row r="14" spans="2:19" ht="15" customHeight="1" x14ac:dyDescent="0.25">
      <c r="B14" s="588">
        <v>1959</v>
      </c>
      <c r="C14" s="589">
        <v>492.34136024744851</v>
      </c>
      <c r="D14" s="590">
        <f t="shared" si="0"/>
        <v>492.34136024744851</v>
      </c>
      <c r="E14" s="590">
        <f t="shared" si="0"/>
        <v>492.34136024744851</v>
      </c>
      <c r="F14" s="591">
        <f t="shared" si="0"/>
        <v>492.34136024744851</v>
      </c>
      <c r="G14" s="592">
        <f>C14*Prix!C$73/Prix!C16</f>
        <v>5309.2311592668884</v>
      </c>
      <c r="H14" s="590">
        <f>D14*Prix!D$73/Prix!D16</f>
        <v>5309.2311592668884</v>
      </c>
      <c r="I14" s="590">
        <f>E14*Prix!E$73/Prix!E16</f>
        <v>5309.2311592668884</v>
      </c>
      <c r="J14" s="591">
        <f>F14*Prix!F$73/Prix!F16</f>
        <v>5309.2311592668884</v>
      </c>
      <c r="K14" s="593">
        <f t="shared" si="1"/>
        <v>5.9813292092029791E-2</v>
      </c>
      <c r="L14" s="594">
        <f t="shared" si="1"/>
        <v>5.9813292092029791E-2</v>
      </c>
      <c r="M14" s="594">
        <f t="shared" si="1"/>
        <v>5.9813292092029791E-2</v>
      </c>
      <c r="N14" s="595">
        <f t="shared" si="1"/>
        <v>5.9813292092029791E-2</v>
      </c>
      <c r="O14" s="596">
        <f t="shared" si="1"/>
        <v>-1.7904945311882914E-3</v>
      </c>
      <c r="P14" s="594">
        <f t="shared" si="1"/>
        <v>-1.7904945311882914E-3</v>
      </c>
      <c r="Q14" s="594">
        <f t="shared" si="1"/>
        <v>-1.7904945311882914E-3</v>
      </c>
      <c r="R14" s="597">
        <f t="shared" si="1"/>
        <v>-1.7904945311882914E-3</v>
      </c>
      <c r="S14" s="598"/>
    </row>
    <row r="15" spans="2:19" ht="15" customHeight="1" x14ac:dyDescent="0.25">
      <c r="B15" s="588">
        <v>1960</v>
      </c>
      <c r="C15" s="589">
        <v>510.77511736470865</v>
      </c>
      <c r="D15" s="590">
        <f t="shared" si="0"/>
        <v>510.77511736470865</v>
      </c>
      <c r="E15" s="590">
        <f t="shared" si="0"/>
        <v>510.77511736470865</v>
      </c>
      <c r="F15" s="591">
        <f t="shared" si="0"/>
        <v>510.77511736470865</v>
      </c>
      <c r="G15" s="592">
        <f>C15*Prix!C$73/Prix!C17</f>
        <v>5313.546340352701</v>
      </c>
      <c r="H15" s="590">
        <f>D15*Prix!D$73/Prix!D17</f>
        <v>5313.546340352701</v>
      </c>
      <c r="I15" s="590">
        <f>E15*Prix!E$73/Prix!E17</f>
        <v>5313.546340352701</v>
      </c>
      <c r="J15" s="591">
        <f>F15*Prix!F$73/Prix!F17</f>
        <v>5313.546340352701</v>
      </c>
      <c r="K15" s="593">
        <f t="shared" si="1"/>
        <v>3.7441008628638084E-2</v>
      </c>
      <c r="L15" s="594">
        <f t="shared" si="1"/>
        <v>3.7441008628638084E-2</v>
      </c>
      <c r="M15" s="594">
        <f t="shared" si="1"/>
        <v>3.7441008628638084E-2</v>
      </c>
      <c r="N15" s="595">
        <f t="shared" si="1"/>
        <v>3.7441008628638084E-2</v>
      </c>
      <c r="O15" s="596">
        <f t="shared" si="1"/>
        <v>8.127694870245783E-4</v>
      </c>
      <c r="P15" s="594">
        <f t="shared" si="1"/>
        <v>8.127694870245783E-4</v>
      </c>
      <c r="Q15" s="594">
        <f t="shared" si="1"/>
        <v>8.127694870245783E-4</v>
      </c>
      <c r="R15" s="597">
        <f t="shared" si="1"/>
        <v>8.127694870245783E-4</v>
      </c>
      <c r="S15" s="598"/>
    </row>
    <row r="16" spans="2:19" ht="15" customHeight="1" x14ac:dyDescent="0.25">
      <c r="B16" s="588">
        <v>1961</v>
      </c>
      <c r="C16" s="589">
        <v>520.8511475056805</v>
      </c>
      <c r="D16" s="590">
        <f t="shared" si="0"/>
        <v>520.8511475056805</v>
      </c>
      <c r="E16" s="590">
        <f t="shared" si="0"/>
        <v>520.8511475056805</v>
      </c>
      <c r="F16" s="591">
        <f t="shared" si="0"/>
        <v>520.8511475056805</v>
      </c>
      <c r="G16" s="592">
        <f>C16*Prix!C$73/Prix!C18</f>
        <v>5244.1073323737764</v>
      </c>
      <c r="H16" s="590">
        <f>D16*Prix!D$73/Prix!D18</f>
        <v>5244.1073323737764</v>
      </c>
      <c r="I16" s="590">
        <f>E16*Prix!E$73/Prix!E18</f>
        <v>5244.1073323737764</v>
      </c>
      <c r="J16" s="591">
        <f>F16*Prix!F$73/Prix!F18</f>
        <v>5244.1073323737764</v>
      </c>
      <c r="K16" s="593">
        <f t="shared" si="1"/>
        <v>1.9726940092458012E-2</v>
      </c>
      <c r="L16" s="594">
        <f t="shared" si="1"/>
        <v>1.9726940092458012E-2</v>
      </c>
      <c r="M16" s="594">
        <f t="shared" si="1"/>
        <v>1.9726940092458012E-2</v>
      </c>
      <c r="N16" s="595">
        <f t="shared" si="1"/>
        <v>1.9726940092458012E-2</v>
      </c>
      <c r="O16" s="596">
        <f t="shared" si="1"/>
        <v>-1.3068298181872162E-2</v>
      </c>
      <c r="P16" s="594">
        <f t="shared" si="1"/>
        <v>-1.3068298181872162E-2</v>
      </c>
      <c r="Q16" s="594">
        <f t="shared" si="1"/>
        <v>-1.3068298181872162E-2</v>
      </c>
      <c r="R16" s="597">
        <f t="shared" si="1"/>
        <v>-1.3068298181872162E-2</v>
      </c>
      <c r="S16" s="598"/>
    </row>
    <row r="17" spans="2:19" ht="15" customHeight="1" x14ac:dyDescent="0.25">
      <c r="B17" s="588">
        <v>1962</v>
      </c>
      <c r="C17" s="589">
        <v>546.62784548962156</v>
      </c>
      <c r="D17" s="590">
        <f t="shared" si="0"/>
        <v>546.62784548962156</v>
      </c>
      <c r="E17" s="590">
        <f t="shared" si="0"/>
        <v>546.62784548962156</v>
      </c>
      <c r="F17" s="591">
        <f t="shared" si="0"/>
        <v>546.62784548962156</v>
      </c>
      <c r="G17" s="592">
        <f>C17*Prix!C$73/Prix!C19</f>
        <v>5255.391320647821</v>
      </c>
      <c r="H17" s="590">
        <f>D17*Prix!D$73/Prix!D19</f>
        <v>5255.391320647821</v>
      </c>
      <c r="I17" s="590">
        <f>E17*Prix!E$73/Prix!E19</f>
        <v>5255.391320647821</v>
      </c>
      <c r="J17" s="591">
        <f>F17*Prix!F$73/Prix!F19</f>
        <v>5255.391320647821</v>
      </c>
      <c r="K17" s="593">
        <f t="shared" si="1"/>
        <v>4.9489567427054348E-2</v>
      </c>
      <c r="L17" s="594">
        <f t="shared" si="1"/>
        <v>4.9489567427054348E-2</v>
      </c>
      <c r="M17" s="594">
        <f t="shared" si="1"/>
        <v>4.9489567427054348E-2</v>
      </c>
      <c r="N17" s="595">
        <f t="shared" si="1"/>
        <v>4.9489567427054348E-2</v>
      </c>
      <c r="O17" s="596">
        <f t="shared" si="1"/>
        <v>2.1517462475233451E-3</v>
      </c>
      <c r="P17" s="594">
        <f t="shared" si="1"/>
        <v>2.1517462475233451E-3</v>
      </c>
      <c r="Q17" s="594">
        <f t="shared" si="1"/>
        <v>2.1517462475233451E-3</v>
      </c>
      <c r="R17" s="597">
        <f t="shared" si="1"/>
        <v>2.1517462475233451E-3</v>
      </c>
      <c r="S17" s="598"/>
    </row>
    <row r="18" spans="2:19" ht="15" customHeight="1" x14ac:dyDescent="0.25">
      <c r="B18" s="588">
        <v>1963</v>
      </c>
      <c r="C18" s="589">
        <v>584.82029215872637</v>
      </c>
      <c r="D18" s="590">
        <f t="shared" si="0"/>
        <v>584.82029215872637</v>
      </c>
      <c r="E18" s="590">
        <f t="shared" si="0"/>
        <v>584.82029215872637</v>
      </c>
      <c r="F18" s="591">
        <f t="shared" si="0"/>
        <v>584.82029215872637</v>
      </c>
      <c r="G18" s="592">
        <f>C18*Prix!C$73/Prix!C20</f>
        <v>5365.1370758664116</v>
      </c>
      <c r="H18" s="590">
        <f>D18*Prix!D$73/Prix!D20</f>
        <v>5365.1370758664116</v>
      </c>
      <c r="I18" s="590">
        <f>E18*Prix!E$73/Prix!E20</f>
        <v>5365.1370758664116</v>
      </c>
      <c r="J18" s="591">
        <f>F18*Prix!F$73/Prix!F20</f>
        <v>5365.1370758664116</v>
      </c>
      <c r="K18" s="593">
        <f t="shared" si="1"/>
        <v>6.9869193427011256E-2</v>
      </c>
      <c r="L18" s="594">
        <f t="shared" si="1"/>
        <v>6.9869193427011256E-2</v>
      </c>
      <c r="M18" s="594">
        <f t="shared" si="1"/>
        <v>6.9869193427011256E-2</v>
      </c>
      <c r="N18" s="595">
        <f t="shared" si="1"/>
        <v>6.9869193427011256E-2</v>
      </c>
      <c r="O18" s="596">
        <f t="shared" si="1"/>
        <v>2.0882508746287387E-2</v>
      </c>
      <c r="P18" s="594">
        <f t="shared" si="1"/>
        <v>2.0882508746287387E-2</v>
      </c>
      <c r="Q18" s="594">
        <f t="shared" si="1"/>
        <v>2.0882508746287387E-2</v>
      </c>
      <c r="R18" s="597">
        <f t="shared" si="1"/>
        <v>2.0882508746287387E-2</v>
      </c>
      <c r="S18" s="598"/>
    </row>
    <row r="19" spans="2:19" ht="15" customHeight="1" x14ac:dyDescent="0.25">
      <c r="B19" s="588">
        <v>1964</v>
      </c>
      <c r="C19" s="589">
        <v>600.55689209469472</v>
      </c>
      <c r="D19" s="590">
        <f t="shared" si="0"/>
        <v>600.55689209469472</v>
      </c>
      <c r="E19" s="590">
        <f t="shared" si="0"/>
        <v>600.55689209469472</v>
      </c>
      <c r="F19" s="591">
        <f t="shared" si="0"/>
        <v>600.55689209469472</v>
      </c>
      <c r="G19" s="592">
        <f>C19*Prix!C$73/Prix!C21</f>
        <v>5324.2291548713738</v>
      </c>
      <c r="H19" s="590">
        <f>D19*Prix!D$73/Prix!D21</f>
        <v>5324.2291548713738</v>
      </c>
      <c r="I19" s="590">
        <f>E19*Prix!E$73/Prix!E21</f>
        <v>5324.2291548713738</v>
      </c>
      <c r="J19" s="591">
        <f>F19*Prix!F$73/Prix!F21</f>
        <v>5324.2291548713738</v>
      </c>
      <c r="K19" s="593">
        <f t="shared" si="1"/>
        <v>2.6908436911244005E-2</v>
      </c>
      <c r="L19" s="594">
        <f t="shared" si="1"/>
        <v>2.6908436911244005E-2</v>
      </c>
      <c r="M19" s="594">
        <f t="shared" si="1"/>
        <v>2.6908436911244005E-2</v>
      </c>
      <c r="N19" s="595">
        <f t="shared" si="1"/>
        <v>2.6908436911244005E-2</v>
      </c>
      <c r="O19" s="596">
        <f t="shared" si="1"/>
        <v>-7.6247671618775437E-3</v>
      </c>
      <c r="P19" s="594">
        <f t="shared" si="1"/>
        <v>-7.6247671618775437E-3</v>
      </c>
      <c r="Q19" s="594">
        <f t="shared" si="1"/>
        <v>-7.6247671618775437E-3</v>
      </c>
      <c r="R19" s="597">
        <f t="shared" si="1"/>
        <v>-7.6247671618775437E-3</v>
      </c>
      <c r="S19" s="598"/>
    </row>
    <row r="20" spans="2:19" ht="15" customHeight="1" x14ac:dyDescent="0.25">
      <c r="B20" s="588">
        <v>1965</v>
      </c>
      <c r="C20" s="589">
        <v>626.25404718205198</v>
      </c>
      <c r="D20" s="590">
        <f t="shared" si="0"/>
        <v>626.25404718205198</v>
      </c>
      <c r="E20" s="590">
        <f t="shared" si="0"/>
        <v>626.25404718205198</v>
      </c>
      <c r="F20" s="591">
        <f t="shared" si="0"/>
        <v>626.25404718205198</v>
      </c>
      <c r="G20" s="592">
        <f>C20*Prix!C$73/Prix!C22</f>
        <v>5417.8005567096698</v>
      </c>
      <c r="H20" s="590">
        <f>D20*Prix!D$73/Prix!D22</f>
        <v>5417.8005567096698</v>
      </c>
      <c r="I20" s="590">
        <f>E20*Prix!E$73/Prix!E22</f>
        <v>5417.8005567096698</v>
      </c>
      <c r="J20" s="591">
        <f>F20*Prix!F$73/Prix!F22</f>
        <v>5417.8005567096698</v>
      </c>
      <c r="K20" s="593">
        <f t="shared" si="1"/>
        <v>4.2788877166537231E-2</v>
      </c>
      <c r="L20" s="594">
        <f t="shared" si="1"/>
        <v>4.2788877166537231E-2</v>
      </c>
      <c r="M20" s="594">
        <f t="shared" si="1"/>
        <v>4.2788877166537231E-2</v>
      </c>
      <c r="N20" s="595">
        <f t="shared" si="1"/>
        <v>4.2788877166537231E-2</v>
      </c>
      <c r="O20" s="596">
        <f t="shared" si="1"/>
        <v>1.7574638340403403E-2</v>
      </c>
      <c r="P20" s="594">
        <f t="shared" si="1"/>
        <v>1.7574638340403403E-2</v>
      </c>
      <c r="Q20" s="594">
        <f t="shared" si="1"/>
        <v>1.7574638340403403E-2</v>
      </c>
      <c r="R20" s="597">
        <f t="shared" si="1"/>
        <v>1.7574638340403403E-2</v>
      </c>
      <c r="S20" s="598"/>
    </row>
    <row r="21" spans="2:19" ht="15" customHeight="1" x14ac:dyDescent="0.25">
      <c r="B21" s="588">
        <v>1966</v>
      </c>
      <c r="C21" s="589">
        <v>651.86047005545242</v>
      </c>
      <c r="D21" s="590">
        <f t="shared" si="0"/>
        <v>651.86047005545242</v>
      </c>
      <c r="E21" s="590">
        <f t="shared" si="0"/>
        <v>651.86047005545242</v>
      </c>
      <c r="F21" s="591">
        <f t="shared" si="0"/>
        <v>651.86047005545242</v>
      </c>
      <c r="G21" s="592">
        <f>C21*Prix!C$73/Prix!C23</f>
        <v>5492.2945239827777</v>
      </c>
      <c r="H21" s="590">
        <f>D21*Prix!D$73/Prix!D23</f>
        <v>5492.2945239827777</v>
      </c>
      <c r="I21" s="590">
        <f>E21*Prix!E$73/Prix!E23</f>
        <v>5492.2945239827777</v>
      </c>
      <c r="J21" s="591">
        <f>F21*Prix!F$73/Prix!F23</f>
        <v>5492.2945239827777</v>
      </c>
      <c r="K21" s="593">
        <f t="shared" si="1"/>
        <v>4.0888235355318381E-2</v>
      </c>
      <c r="L21" s="594">
        <f t="shared" si="1"/>
        <v>4.0888235355318381E-2</v>
      </c>
      <c r="M21" s="594">
        <f t="shared" si="1"/>
        <v>4.0888235355318381E-2</v>
      </c>
      <c r="N21" s="595">
        <f t="shared" si="1"/>
        <v>4.0888235355318381E-2</v>
      </c>
      <c r="O21" s="596">
        <f t="shared" si="1"/>
        <v>1.3749854113926485E-2</v>
      </c>
      <c r="P21" s="594">
        <f t="shared" si="1"/>
        <v>1.3749854113926485E-2</v>
      </c>
      <c r="Q21" s="594">
        <f t="shared" si="1"/>
        <v>1.3749854113926485E-2</v>
      </c>
      <c r="R21" s="597">
        <f t="shared" si="1"/>
        <v>1.3749854113926485E-2</v>
      </c>
      <c r="S21" s="598"/>
    </row>
    <row r="22" spans="2:19" ht="15" customHeight="1" x14ac:dyDescent="0.25">
      <c r="B22" s="588">
        <v>1967</v>
      </c>
      <c r="C22" s="589">
        <v>681.75200508569924</v>
      </c>
      <c r="D22" s="590">
        <f t="shared" ref="D22:F37" si="2">C22</f>
        <v>681.75200508569924</v>
      </c>
      <c r="E22" s="590">
        <f t="shared" si="2"/>
        <v>681.75200508569924</v>
      </c>
      <c r="F22" s="591">
        <f t="shared" si="2"/>
        <v>681.75200508569924</v>
      </c>
      <c r="G22" s="592">
        <f>C22*Prix!C$73/Prix!C24</f>
        <v>5589.0274852279335</v>
      </c>
      <c r="H22" s="590">
        <f>D22*Prix!D$73/Prix!D24</f>
        <v>5589.0274852279335</v>
      </c>
      <c r="I22" s="590">
        <f>E22*Prix!E$73/Prix!E24</f>
        <v>5589.0274852279335</v>
      </c>
      <c r="J22" s="591">
        <f>F22*Prix!F$73/Prix!F24</f>
        <v>5589.0274852279335</v>
      </c>
      <c r="K22" s="593">
        <f t="shared" si="1"/>
        <v>4.5855725885179055E-2</v>
      </c>
      <c r="L22" s="594">
        <f t="shared" si="1"/>
        <v>4.5855725885179055E-2</v>
      </c>
      <c r="M22" s="594">
        <f t="shared" si="1"/>
        <v>4.5855725885179055E-2</v>
      </c>
      <c r="N22" s="595">
        <f t="shared" si="1"/>
        <v>4.5855725885179055E-2</v>
      </c>
      <c r="O22" s="596">
        <f t="shared" si="1"/>
        <v>1.7612486151782125E-2</v>
      </c>
      <c r="P22" s="594">
        <f t="shared" si="1"/>
        <v>1.7612486151782125E-2</v>
      </c>
      <c r="Q22" s="594">
        <f t="shared" si="1"/>
        <v>1.7612486151782125E-2</v>
      </c>
      <c r="R22" s="597">
        <f t="shared" si="1"/>
        <v>1.7612486151782125E-2</v>
      </c>
      <c r="S22" s="598"/>
    </row>
    <row r="23" spans="2:19" ht="15" customHeight="1" x14ac:dyDescent="0.25">
      <c r="B23" s="588">
        <v>1968</v>
      </c>
      <c r="C23" s="589">
        <v>850.71283369392529</v>
      </c>
      <c r="D23" s="590">
        <f t="shared" si="2"/>
        <v>850.71283369392529</v>
      </c>
      <c r="E23" s="590">
        <f t="shared" si="2"/>
        <v>850.71283369392529</v>
      </c>
      <c r="F23" s="591">
        <f t="shared" si="2"/>
        <v>850.71283369392529</v>
      </c>
      <c r="G23" s="592">
        <f>C23*Prix!C$73/Prix!C25</f>
        <v>6673.7988785792813</v>
      </c>
      <c r="H23" s="590">
        <f>D23*Prix!D$73/Prix!D25</f>
        <v>6673.7988785792813</v>
      </c>
      <c r="I23" s="590">
        <f>E23*Prix!E$73/Prix!E25</f>
        <v>6673.7988785792813</v>
      </c>
      <c r="J23" s="591">
        <f>F23*Prix!F$73/Prix!F25</f>
        <v>6673.7988785792813</v>
      </c>
      <c r="K23" s="593">
        <f t="shared" ref="K23:R54" si="3">C23/C22-1</f>
        <v>0.24783326979285802</v>
      </c>
      <c r="L23" s="594">
        <f t="shared" si="3"/>
        <v>0.24783326979285802</v>
      </c>
      <c r="M23" s="594">
        <f t="shared" si="3"/>
        <v>0.24783326979285802</v>
      </c>
      <c r="N23" s="595">
        <f t="shared" si="3"/>
        <v>0.24783326979285802</v>
      </c>
      <c r="O23" s="596">
        <f t="shared" si="3"/>
        <v>0.19408947195526416</v>
      </c>
      <c r="P23" s="594">
        <f t="shared" si="3"/>
        <v>0.19408947195526416</v>
      </c>
      <c r="Q23" s="594">
        <f t="shared" si="3"/>
        <v>0.19408947195526416</v>
      </c>
      <c r="R23" s="597">
        <f t="shared" si="3"/>
        <v>0.19408947195526416</v>
      </c>
      <c r="S23" s="598"/>
    </row>
    <row r="24" spans="2:19" ht="15" customHeight="1" x14ac:dyDescent="0.25">
      <c r="B24" s="588">
        <v>1969</v>
      </c>
      <c r="C24" s="589">
        <v>1002.9638386127924</v>
      </c>
      <c r="D24" s="590">
        <f t="shared" si="2"/>
        <v>1002.9638386127924</v>
      </c>
      <c r="E24" s="590">
        <f t="shared" si="2"/>
        <v>1002.9638386127924</v>
      </c>
      <c r="F24" s="591">
        <f t="shared" si="2"/>
        <v>1002.9638386127924</v>
      </c>
      <c r="G24" s="592">
        <f>C24*Prix!C$73/Prix!C26</f>
        <v>7393.4449854473542</v>
      </c>
      <c r="H24" s="590">
        <f>D24*Prix!D$73/Prix!D26</f>
        <v>7393.4449854473542</v>
      </c>
      <c r="I24" s="590">
        <f>E24*Prix!E$73/Prix!E26</f>
        <v>7393.4449854473542</v>
      </c>
      <c r="J24" s="591">
        <f>F24*Prix!F$73/Prix!F26</f>
        <v>7393.4449854473542</v>
      </c>
      <c r="K24" s="593">
        <f t="shared" si="3"/>
        <v>0.17896874114120265</v>
      </c>
      <c r="L24" s="594">
        <f t="shared" si="3"/>
        <v>0.17896874114120265</v>
      </c>
      <c r="M24" s="594">
        <f t="shared" si="3"/>
        <v>0.17896874114120265</v>
      </c>
      <c r="N24" s="595">
        <f t="shared" si="3"/>
        <v>0.17896874114120265</v>
      </c>
      <c r="O24" s="596">
        <f t="shared" si="3"/>
        <v>0.10783155440567782</v>
      </c>
      <c r="P24" s="594">
        <f t="shared" si="3"/>
        <v>0.10783155440567782</v>
      </c>
      <c r="Q24" s="594">
        <f t="shared" si="3"/>
        <v>0.10783155440567782</v>
      </c>
      <c r="R24" s="597">
        <f t="shared" si="3"/>
        <v>0.10783155440567782</v>
      </c>
      <c r="S24" s="598"/>
    </row>
    <row r="25" spans="2:19" ht="15" customHeight="1" x14ac:dyDescent="0.25">
      <c r="B25" s="588">
        <v>1970</v>
      </c>
      <c r="C25" s="589">
        <v>1083.201640702267</v>
      </c>
      <c r="D25" s="590">
        <f t="shared" si="2"/>
        <v>1083.201640702267</v>
      </c>
      <c r="E25" s="590">
        <f t="shared" si="2"/>
        <v>1083.201640702267</v>
      </c>
      <c r="F25" s="591">
        <f t="shared" si="2"/>
        <v>1083.201640702267</v>
      </c>
      <c r="G25" s="592">
        <f>C25*Prix!C$73/Prix!C27</f>
        <v>7588.4713542344825</v>
      </c>
      <c r="H25" s="590">
        <f>D25*Prix!D$73/Prix!D27</f>
        <v>7588.4713542344825</v>
      </c>
      <c r="I25" s="590">
        <f>E25*Prix!E$73/Prix!E27</f>
        <v>7588.4713542344825</v>
      </c>
      <c r="J25" s="591">
        <f>F25*Prix!F$73/Prix!F27</f>
        <v>7588.4713542344825</v>
      </c>
      <c r="K25" s="593">
        <f t="shared" si="3"/>
        <v>8.0000692946669005E-2</v>
      </c>
      <c r="L25" s="594">
        <f t="shared" si="3"/>
        <v>8.0000692946669005E-2</v>
      </c>
      <c r="M25" s="594">
        <f t="shared" si="3"/>
        <v>8.0000692946669005E-2</v>
      </c>
      <c r="N25" s="595">
        <f t="shared" si="3"/>
        <v>8.0000692946669005E-2</v>
      </c>
      <c r="O25" s="596">
        <f t="shared" si="3"/>
        <v>2.6378280919246988E-2</v>
      </c>
      <c r="P25" s="594">
        <f t="shared" si="3"/>
        <v>2.6378280919246988E-2</v>
      </c>
      <c r="Q25" s="594">
        <f t="shared" si="3"/>
        <v>2.6378280919246988E-2</v>
      </c>
      <c r="R25" s="597">
        <f t="shared" si="3"/>
        <v>2.6378280919246988E-2</v>
      </c>
      <c r="S25" s="598"/>
    </row>
    <row r="26" spans="2:19" ht="15" customHeight="1" x14ac:dyDescent="0.25">
      <c r="B26" s="588">
        <v>1971</v>
      </c>
      <c r="C26" s="589">
        <v>1192.594711719013</v>
      </c>
      <c r="D26" s="590">
        <f t="shared" si="2"/>
        <v>1192.594711719013</v>
      </c>
      <c r="E26" s="590">
        <f t="shared" si="2"/>
        <v>1192.594711719013</v>
      </c>
      <c r="F26" s="591">
        <f t="shared" si="2"/>
        <v>1192.594711719013</v>
      </c>
      <c r="G26" s="592">
        <f>C26*Prix!C$73/Prix!C28</f>
        <v>7906.9581879557081</v>
      </c>
      <c r="H26" s="590">
        <f>D26*Prix!D$73/Prix!D28</f>
        <v>7906.9581879557081</v>
      </c>
      <c r="I26" s="590">
        <f>E26*Prix!E$73/Prix!E28</f>
        <v>7906.9581879557081</v>
      </c>
      <c r="J26" s="591">
        <f>F26*Prix!F$73/Prix!F28</f>
        <v>7906.9581879557081</v>
      </c>
      <c r="K26" s="593">
        <f t="shared" si="3"/>
        <v>0.10099049605004629</v>
      </c>
      <c r="L26" s="594">
        <f t="shared" si="3"/>
        <v>0.10099049605004629</v>
      </c>
      <c r="M26" s="594">
        <f t="shared" si="3"/>
        <v>0.10099049605004629</v>
      </c>
      <c r="N26" s="595">
        <f t="shared" si="3"/>
        <v>0.10099049605004629</v>
      </c>
      <c r="O26" s="596">
        <f t="shared" si="3"/>
        <v>4.1969827499382273E-2</v>
      </c>
      <c r="P26" s="594">
        <f t="shared" si="3"/>
        <v>4.1969827499382273E-2</v>
      </c>
      <c r="Q26" s="594">
        <f t="shared" si="3"/>
        <v>4.1969827499382273E-2</v>
      </c>
      <c r="R26" s="597">
        <f t="shared" si="3"/>
        <v>4.1969827499382273E-2</v>
      </c>
      <c r="S26" s="598"/>
    </row>
    <row r="27" spans="2:19" ht="15" customHeight="1" x14ac:dyDescent="0.25">
      <c r="B27" s="588">
        <v>1972</v>
      </c>
      <c r="C27" s="589">
        <v>1328.4070807953383</v>
      </c>
      <c r="D27" s="590">
        <f t="shared" si="2"/>
        <v>1328.4070807953383</v>
      </c>
      <c r="E27" s="590">
        <f t="shared" si="2"/>
        <v>1328.4070807953383</v>
      </c>
      <c r="F27" s="591">
        <f t="shared" si="2"/>
        <v>1328.4070807953383</v>
      </c>
      <c r="G27" s="592">
        <f>C27*Prix!C$73/Prix!C29</f>
        <v>8296.7469672117822</v>
      </c>
      <c r="H27" s="590">
        <f>D27*Prix!D$73/Prix!D29</f>
        <v>8296.7469672117822</v>
      </c>
      <c r="I27" s="590">
        <f>E27*Prix!E$73/Prix!E29</f>
        <v>8296.7469672117822</v>
      </c>
      <c r="J27" s="591">
        <f>F27*Prix!F$73/Prix!F29</f>
        <v>8296.7469672117822</v>
      </c>
      <c r="K27" s="593">
        <f t="shared" si="3"/>
        <v>0.11387973444940447</v>
      </c>
      <c r="L27" s="594">
        <f t="shared" si="3"/>
        <v>0.11387973444940447</v>
      </c>
      <c r="M27" s="594">
        <f t="shared" si="3"/>
        <v>0.11387973444940447</v>
      </c>
      <c r="N27" s="595">
        <f t="shared" si="3"/>
        <v>0.11387973444940447</v>
      </c>
      <c r="O27" s="596">
        <f t="shared" si="3"/>
        <v>4.9296931890928875E-2</v>
      </c>
      <c r="P27" s="594">
        <f t="shared" si="3"/>
        <v>4.9296931890928875E-2</v>
      </c>
      <c r="Q27" s="594">
        <f t="shared" si="3"/>
        <v>4.9296931890928875E-2</v>
      </c>
      <c r="R27" s="597">
        <f t="shared" si="3"/>
        <v>4.9296931890928875E-2</v>
      </c>
      <c r="S27" s="598"/>
    </row>
    <row r="28" spans="2:19" ht="15" customHeight="1" x14ac:dyDescent="0.25">
      <c r="B28" s="588">
        <v>1973</v>
      </c>
      <c r="C28" s="589">
        <v>1570.9616448505512</v>
      </c>
      <c r="D28" s="590">
        <f t="shared" si="2"/>
        <v>1570.9616448505512</v>
      </c>
      <c r="E28" s="590">
        <f t="shared" si="2"/>
        <v>1570.9616448505512</v>
      </c>
      <c r="F28" s="591">
        <f t="shared" si="2"/>
        <v>1570.9616448505512</v>
      </c>
      <c r="G28" s="592">
        <f>C28*Prix!C$73/Prix!C30</f>
        <v>8982.8160719822044</v>
      </c>
      <c r="H28" s="590">
        <f>D28*Prix!D$73/Prix!D30</f>
        <v>8982.8160719822044</v>
      </c>
      <c r="I28" s="590">
        <f>E28*Prix!E$73/Prix!E30</f>
        <v>8982.8160719822044</v>
      </c>
      <c r="J28" s="591">
        <f>F28*Prix!F$73/Prix!F30</f>
        <v>8982.8160719822044</v>
      </c>
      <c r="K28" s="593">
        <f t="shared" si="3"/>
        <v>0.18259053836869921</v>
      </c>
      <c r="L28" s="594">
        <f t="shared" si="3"/>
        <v>0.18259053836869921</v>
      </c>
      <c r="M28" s="594">
        <f t="shared" si="3"/>
        <v>0.18259053836869921</v>
      </c>
      <c r="N28" s="595">
        <f t="shared" si="3"/>
        <v>0.18259053836869921</v>
      </c>
      <c r="O28" s="596">
        <f t="shared" si="3"/>
        <v>8.2691337638923335E-2</v>
      </c>
      <c r="P28" s="594">
        <f t="shared" si="3"/>
        <v>8.2691337638923335E-2</v>
      </c>
      <c r="Q28" s="594">
        <f t="shared" si="3"/>
        <v>8.2691337638923335E-2</v>
      </c>
      <c r="R28" s="597">
        <f t="shared" si="3"/>
        <v>8.2691337638923335E-2</v>
      </c>
      <c r="S28" s="598"/>
    </row>
    <row r="29" spans="2:19" ht="15" customHeight="1" x14ac:dyDescent="0.25">
      <c r="B29" s="588">
        <v>1974</v>
      </c>
      <c r="C29" s="589">
        <v>1934.724881001534</v>
      </c>
      <c r="D29" s="590">
        <f t="shared" si="2"/>
        <v>1934.724881001534</v>
      </c>
      <c r="E29" s="590">
        <f t="shared" si="2"/>
        <v>1934.724881001534</v>
      </c>
      <c r="F29" s="591">
        <f t="shared" si="2"/>
        <v>1934.724881001534</v>
      </c>
      <c r="G29" s="592">
        <f>C29*Prix!C$73/Prix!C31</f>
        <v>9725.074690352918</v>
      </c>
      <c r="H29" s="590">
        <f>D29*Prix!D$73/Prix!D31</f>
        <v>9725.074690352918</v>
      </c>
      <c r="I29" s="590">
        <f>E29*Prix!E$73/Prix!E31</f>
        <v>9725.074690352918</v>
      </c>
      <c r="J29" s="591">
        <f>F29*Prix!F$73/Prix!F31</f>
        <v>9725.074690352918</v>
      </c>
      <c r="K29" s="593">
        <f t="shared" si="3"/>
        <v>0.23155449870043654</v>
      </c>
      <c r="L29" s="594">
        <f t="shared" si="3"/>
        <v>0.23155449870043654</v>
      </c>
      <c r="M29" s="594">
        <f t="shared" si="3"/>
        <v>0.23155449870043654</v>
      </c>
      <c r="N29" s="595">
        <f t="shared" si="3"/>
        <v>0.23155449870043654</v>
      </c>
      <c r="O29" s="596">
        <f t="shared" si="3"/>
        <v>8.2630949183725377E-2</v>
      </c>
      <c r="P29" s="594">
        <f t="shared" si="3"/>
        <v>8.2630949183725377E-2</v>
      </c>
      <c r="Q29" s="594">
        <f t="shared" si="3"/>
        <v>8.2630949183725377E-2</v>
      </c>
      <c r="R29" s="597">
        <f t="shared" si="3"/>
        <v>8.2630949183725377E-2</v>
      </c>
      <c r="S29" s="598"/>
    </row>
    <row r="30" spans="2:19" ht="15" customHeight="1" x14ac:dyDescent="0.25">
      <c r="B30" s="588">
        <v>1975</v>
      </c>
      <c r="C30" s="589">
        <v>2306.6804349708777</v>
      </c>
      <c r="D30" s="590">
        <f t="shared" si="2"/>
        <v>2306.6804349708777</v>
      </c>
      <c r="E30" s="590">
        <f t="shared" si="2"/>
        <v>2306.6804349708777</v>
      </c>
      <c r="F30" s="591">
        <f t="shared" si="2"/>
        <v>2306.6804349708777</v>
      </c>
      <c r="G30" s="592">
        <f>C30*Prix!C$73/Prix!C32</f>
        <v>10376.43672992288</v>
      </c>
      <c r="H30" s="590">
        <f>D30*Prix!D$73/Prix!D32</f>
        <v>10376.43672992288</v>
      </c>
      <c r="I30" s="590">
        <f>E30*Prix!E$73/Prix!E32</f>
        <v>10376.43672992288</v>
      </c>
      <c r="J30" s="591">
        <f>F30*Prix!F$73/Prix!F32</f>
        <v>10376.43672992288</v>
      </c>
      <c r="K30" s="593">
        <f t="shared" si="3"/>
        <v>0.1922524270100856</v>
      </c>
      <c r="L30" s="594">
        <f t="shared" si="3"/>
        <v>0.1922524270100856</v>
      </c>
      <c r="M30" s="594">
        <f t="shared" si="3"/>
        <v>0.1922524270100856</v>
      </c>
      <c r="N30" s="595">
        <f t="shared" si="3"/>
        <v>0.1922524270100856</v>
      </c>
      <c r="O30" s="596">
        <f t="shared" si="3"/>
        <v>6.6977587351190193E-2</v>
      </c>
      <c r="P30" s="594">
        <f t="shared" si="3"/>
        <v>6.6977587351190193E-2</v>
      </c>
      <c r="Q30" s="594">
        <f t="shared" si="3"/>
        <v>6.6977587351190193E-2</v>
      </c>
      <c r="R30" s="597">
        <f t="shared" si="3"/>
        <v>6.6977587351190193E-2</v>
      </c>
      <c r="S30" s="598"/>
    </row>
    <row r="31" spans="2:19" ht="15" customHeight="1" x14ac:dyDescent="0.25">
      <c r="B31" s="588">
        <v>1976</v>
      </c>
      <c r="C31" s="589">
        <v>2646.0277688300757</v>
      </c>
      <c r="D31" s="590">
        <f t="shared" si="2"/>
        <v>2646.0277688300757</v>
      </c>
      <c r="E31" s="590">
        <f t="shared" si="2"/>
        <v>2646.0277688300757</v>
      </c>
      <c r="F31" s="591">
        <f t="shared" si="2"/>
        <v>2646.0277688300757</v>
      </c>
      <c r="G31" s="592">
        <f>C31*Prix!C$73/Prix!C33</f>
        <v>10854.998439041645</v>
      </c>
      <c r="H31" s="590">
        <f>D31*Prix!D$73/Prix!D33</f>
        <v>10854.998439041645</v>
      </c>
      <c r="I31" s="590">
        <f>E31*Prix!E$73/Prix!E33</f>
        <v>10854.998439041645</v>
      </c>
      <c r="J31" s="591">
        <f>F31*Prix!F$73/Prix!F33</f>
        <v>10854.998439041645</v>
      </c>
      <c r="K31" s="593">
        <f t="shared" si="3"/>
        <v>0.1471150180642522</v>
      </c>
      <c r="L31" s="594">
        <f t="shared" si="3"/>
        <v>0.1471150180642522</v>
      </c>
      <c r="M31" s="594">
        <f t="shared" si="3"/>
        <v>0.1471150180642522</v>
      </c>
      <c r="N31" s="595">
        <f t="shared" si="3"/>
        <v>0.1471150180642522</v>
      </c>
      <c r="O31" s="596">
        <f t="shared" si="3"/>
        <v>4.6120043091355312E-2</v>
      </c>
      <c r="P31" s="594">
        <f t="shared" si="3"/>
        <v>4.6120043091355312E-2</v>
      </c>
      <c r="Q31" s="594">
        <f t="shared" si="3"/>
        <v>4.6120043091355312E-2</v>
      </c>
      <c r="R31" s="597">
        <f t="shared" si="3"/>
        <v>4.6120043091355312E-2</v>
      </c>
      <c r="S31" s="598"/>
    </row>
    <row r="32" spans="2:19" ht="15" customHeight="1" x14ac:dyDescent="0.25">
      <c r="B32" s="588">
        <v>1977</v>
      </c>
      <c r="C32" s="589">
        <v>2982.203498512818</v>
      </c>
      <c r="D32" s="590">
        <f t="shared" si="2"/>
        <v>2982.203498512818</v>
      </c>
      <c r="E32" s="590">
        <f t="shared" si="2"/>
        <v>2982.203498512818</v>
      </c>
      <c r="F32" s="591">
        <f t="shared" si="2"/>
        <v>2982.203498512818</v>
      </c>
      <c r="G32" s="592">
        <f>C32*Prix!C$73/Prix!C34</f>
        <v>11189.406235243974</v>
      </c>
      <c r="H32" s="590">
        <f>D32*Prix!D$73/Prix!D34</f>
        <v>11189.406235243974</v>
      </c>
      <c r="I32" s="590">
        <f>E32*Prix!E$73/Prix!E34</f>
        <v>11189.406235243974</v>
      </c>
      <c r="J32" s="591">
        <f>F32*Prix!F$73/Prix!F34</f>
        <v>11189.406235243974</v>
      </c>
      <c r="K32" s="593">
        <f t="shared" si="3"/>
        <v>0.12704920698220046</v>
      </c>
      <c r="L32" s="594">
        <f t="shared" si="3"/>
        <v>0.12704920698220046</v>
      </c>
      <c r="M32" s="594">
        <f t="shared" si="3"/>
        <v>0.12704920698220046</v>
      </c>
      <c r="N32" s="595">
        <f t="shared" si="3"/>
        <v>0.12704920698220046</v>
      </c>
      <c r="O32" s="596">
        <f t="shared" si="3"/>
        <v>3.0806802790461996E-2</v>
      </c>
      <c r="P32" s="594">
        <f t="shared" si="3"/>
        <v>3.0806802790461996E-2</v>
      </c>
      <c r="Q32" s="594">
        <f t="shared" si="3"/>
        <v>3.0806802790461996E-2</v>
      </c>
      <c r="R32" s="597">
        <f t="shared" si="3"/>
        <v>3.0806802790461996E-2</v>
      </c>
      <c r="S32" s="598"/>
    </row>
    <row r="33" spans="2:19" ht="15" customHeight="1" x14ac:dyDescent="0.25">
      <c r="B33" s="588">
        <v>1978</v>
      </c>
      <c r="C33" s="589">
        <v>3366.6951231204371</v>
      </c>
      <c r="D33" s="590">
        <f t="shared" si="2"/>
        <v>3366.6951231204371</v>
      </c>
      <c r="E33" s="590">
        <f t="shared" si="2"/>
        <v>3366.6951231204371</v>
      </c>
      <c r="F33" s="591">
        <f t="shared" si="2"/>
        <v>3366.6951231204371</v>
      </c>
      <c r="G33" s="592">
        <f>C33*Prix!C$73/Prix!C35</f>
        <v>11582.263648152657</v>
      </c>
      <c r="H33" s="590">
        <f>D33*Prix!D$73/Prix!D35</f>
        <v>11582.263648152657</v>
      </c>
      <c r="I33" s="590">
        <f>E33*Prix!E$73/Prix!E35</f>
        <v>11582.263648152657</v>
      </c>
      <c r="J33" s="591">
        <f>F33*Prix!F$73/Prix!F35</f>
        <v>11582.263648152657</v>
      </c>
      <c r="K33" s="593">
        <f t="shared" si="3"/>
        <v>0.12892870147840663</v>
      </c>
      <c r="L33" s="594">
        <f t="shared" si="3"/>
        <v>0.12892870147840663</v>
      </c>
      <c r="M33" s="594">
        <f t="shared" si="3"/>
        <v>0.12892870147840663</v>
      </c>
      <c r="N33" s="595">
        <f t="shared" si="3"/>
        <v>0.12892870147840663</v>
      </c>
      <c r="O33" s="596">
        <f t="shared" si="3"/>
        <v>3.51097640615885E-2</v>
      </c>
      <c r="P33" s="594">
        <f t="shared" si="3"/>
        <v>3.51097640615885E-2</v>
      </c>
      <c r="Q33" s="594">
        <f t="shared" si="3"/>
        <v>3.51097640615885E-2</v>
      </c>
      <c r="R33" s="597">
        <f t="shared" si="3"/>
        <v>3.51097640615885E-2</v>
      </c>
      <c r="S33" s="598"/>
    </row>
    <row r="34" spans="2:19" ht="15" customHeight="1" x14ac:dyDescent="0.25">
      <c r="B34" s="588">
        <v>1979</v>
      </c>
      <c r="C34" s="589">
        <v>3785.884645253539</v>
      </c>
      <c r="D34" s="590">
        <f t="shared" si="2"/>
        <v>3785.884645253539</v>
      </c>
      <c r="E34" s="590">
        <f t="shared" si="2"/>
        <v>3785.884645253539</v>
      </c>
      <c r="F34" s="591">
        <f t="shared" si="2"/>
        <v>3785.884645253539</v>
      </c>
      <c r="G34" s="592">
        <f>C34*Prix!C$73/Prix!C36</f>
        <v>11756.662236872275</v>
      </c>
      <c r="H34" s="590">
        <f>D34*Prix!D$73/Prix!D36</f>
        <v>11756.662236872275</v>
      </c>
      <c r="I34" s="590">
        <f>E34*Prix!E$73/Prix!E36</f>
        <v>11756.662236872275</v>
      </c>
      <c r="J34" s="591">
        <f>F34*Prix!F$73/Prix!F36</f>
        <v>11756.662236872275</v>
      </c>
      <c r="K34" s="593">
        <f t="shared" si="3"/>
        <v>0.12451068683183109</v>
      </c>
      <c r="L34" s="594">
        <f t="shared" si="3"/>
        <v>0.12451068683183109</v>
      </c>
      <c r="M34" s="594">
        <f t="shared" si="3"/>
        <v>0.12451068683183109</v>
      </c>
      <c r="N34" s="595">
        <f t="shared" si="3"/>
        <v>0.12451068683183109</v>
      </c>
      <c r="O34" s="596">
        <f t="shared" si="3"/>
        <v>1.5057383773804389E-2</v>
      </c>
      <c r="P34" s="594">
        <f t="shared" si="3"/>
        <v>1.5057383773804389E-2</v>
      </c>
      <c r="Q34" s="594">
        <f t="shared" si="3"/>
        <v>1.5057383773804389E-2</v>
      </c>
      <c r="R34" s="597">
        <f t="shared" si="3"/>
        <v>1.5057383773804389E-2</v>
      </c>
      <c r="S34" s="598"/>
    </row>
    <row r="35" spans="2:19" ht="15" customHeight="1" x14ac:dyDescent="0.25">
      <c r="B35" s="588">
        <v>1980</v>
      </c>
      <c r="C35" s="589">
        <v>4376.5117184019073</v>
      </c>
      <c r="D35" s="590">
        <f t="shared" si="2"/>
        <v>4376.5117184019073</v>
      </c>
      <c r="E35" s="590">
        <f t="shared" si="2"/>
        <v>4376.5117184019073</v>
      </c>
      <c r="F35" s="591">
        <f t="shared" si="2"/>
        <v>4376.5117184019073</v>
      </c>
      <c r="G35" s="592">
        <f>C35*Prix!C$73/Prix!C37</f>
        <v>11969.395139216575</v>
      </c>
      <c r="H35" s="590">
        <f>D35*Prix!D$73/Prix!D37</f>
        <v>11969.395139216575</v>
      </c>
      <c r="I35" s="590">
        <f>E35*Prix!E$73/Prix!E37</f>
        <v>11969.395139216575</v>
      </c>
      <c r="J35" s="591">
        <f>F35*Prix!F$73/Prix!F37</f>
        <v>11969.395139216575</v>
      </c>
      <c r="K35" s="593">
        <f t="shared" si="3"/>
        <v>0.15600767812322358</v>
      </c>
      <c r="L35" s="594">
        <f t="shared" si="3"/>
        <v>0.15600767812322358</v>
      </c>
      <c r="M35" s="594">
        <f t="shared" si="3"/>
        <v>0.15600767812322358</v>
      </c>
      <c r="N35" s="595">
        <f t="shared" si="3"/>
        <v>0.15600767812322358</v>
      </c>
      <c r="O35" s="596">
        <f t="shared" si="3"/>
        <v>1.8094668202434994E-2</v>
      </c>
      <c r="P35" s="594">
        <f t="shared" si="3"/>
        <v>1.8094668202434994E-2</v>
      </c>
      <c r="Q35" s="594">
        <f t="shared" si="3"/>
        <v>1.8094668202434994E-2</v>
      </c>
      <c r="R35" s="597">
        <f t="shared" si="3"/>
        <v>1.8094668202434994E-2</v>
      </c>
      <c r="S35" s="598"/>
    </row>
    <row r="36" spans="2:19" ht="15" customHeight="1" x14ac:dyDescent="0.25">
      <c r="B36" s="588">
        <v>1981</v>
      </c>
      <c r="C36" s="589">
        <v>5169.3699183965482</v>
      </c>
      <c r="D36" s="590">
        <f t="shared" si="2"/>
        <v>5169.3699183965482</v>
      </c>
      <c r="E36" s="590">
        <f t="shared" si="2"/>
        <v>5169.3699183965482</v>
      </c>
      <c r="F36" s="591">
        <f t="shared" si="2"/>
        <v>5169.3699183965482</v>
      </c>
      <c r="G36" s="592">
        <f>C36*Prix!C$73/Prix!C38</f>
        <v>12466.718305848972</v>
      </c>
      <c r="H36" s="590">
        <f>D36*Prix!D$73/Prix!D38</f>
        <v>12466.718305848972</v>
      </c>
      <c r="I36" s="590">
        <f>E36*Prix!E$73/Prix!E38</f>
        <v>12466.718305848972</v>
      </c>
      <c r="J36" s="591">
        <f>F36*Prix!F$73/Prix!F38</f>
        <v>12466.718305848972</v>
      </c>
      <c r="K36" s="593">
        <f t="shared" si="3"/>
        <v>0.18116213345457566</v>
      </c>
      <c r="L36" s="594">
        <f t="shared" si="3"/>
        <v>0.18116213345457566</v>
      </c>
      <c r="M36" s="594">
        <f t="shared" si="3"/>
        <v>0.18116213345457566</v>
      </c>
      <c r="N36" s="595">
        <f t="shared" si="3"/>
        <v>0.18116213345457566</v>
      </c>
      <c r="O36" s="596">
        <f t="shared" si="3"/>
        <v>4.1549565441528991E-2</v>
      </c>
      <c r="P36" s="594">
        <f t="shared" si="3"/>
        <v>4.1549565441528991E-2</v>
      </c>
      <c r="Q36" s="594">
        <f t="shared" si="3"/>
        <v>4.1549565441528991E-2</v>
      </c>
      <c r="R36" s="597">
        <f t="shared" si="3"/>
        <v>4.1549565441528991E-2</v>
      </c>
      <c r="S36" s="598"/>
    </row>
    <row r="37" spans="2:19" ht="15" customHeight="1" x14ac:dyDescent="0.25">
      <c r="B37" s="588">
        <v>1982</v>
      </c>
      <c r="C37" s="589">
        <v>5930.4169140221575</v>
      </c>
      <c r="D37" s="590">
        <f t="shared" si="2"/>
        <v>5930.4169140221575</v>
      </c>
      <c r="E37" s="590">
        <f t="shared" si="2"/>
        <v>5930.4169140221575</v>
      </c>
      <c r="F37" s="591">
        <f t="shared" si="2"/>
        <v>5930.4169140221575</v>
      </c>
      <c r="G37" s="592">
        <f>C37*Prix!C$73/Prix!C39</f>
        <v>12790.294218444342</v>
      </c>
      <c r="H37" s="590">
        <f>D37*Prix!D$73/Prix!D39</f>
        <v>12790.294218444342</v>
      </c>
      <c r="I37" s="590">
        <f>E37*Prix!E$73/Prix!E39</f>
        <v>12790.294218444342</v>
      </c>
      <c r="J37" s="591">
        <f>F37*Prix!F$73/Prix!F39</f>
        <v>12790.294218444342</v>
      </c>
      <c r="K37" s="593">
        <f t="shared" si="3"/>
        <v>0.14722239027956308</v>
      </c>
      <c r="L37" s="594">
        <f t="shared" si="3"/>
        <v>0.14722239027956308</v>
      </c>
      <c r="M37" s="594">
        <f t="shared" si="3"/>
        <v>0.14722239027956308</v>
      </c>
      <c r="N37" s="595">
        <f t="shared" si="3"/>
        <v>0.14722239027956308</v>
      </c>
      <c r="O37" s="596">
        <f t="shared" si="3"/>
        <v>2.5955179595544386E-2</v>
      </c>
      <c r="P37" s="594">
        <f t="shared" si="3"/>
        <v>2.5955179595544386E-2</v>
      </c>
      <c r="Q37" s="594">
        <f t="shared" si="3"/>
        <v>2.5955179595544386E-2</v>
      </c>
      <c r="R37" s="597">
        <f t="shared" si="3"/>
        <v>2.5955179595544386E-2</v>
      </c>
      <c r="S37" s="598"/>
    </row>
    <row r="38" spans="2:19" ht="15" customHeight="1" x14ac:dyDescent="0.25">
      <c r="B38" s="588">
        <v>1983</v>
      </c>
      <c r="C38" s="589">
        <v>6648.0900174274275</v>
      </c>
      <c r="D38" s="590">
        <f t="shared" ref="D38:F53" si="4">C38</f>
        <v>6648.0900174274275</v>
      </c>
      <c r="E38" s="590">
        <f t="shared" si="4"/>
        <v>6648.0900174274275</v>
      </c>
      <c r="F38" s="591">
        <f t="shared" si="4"/>
        <v>6648.0900174274275</v>
      </c>
      <c r="G38" s="592">
        <f>C38*Prix!C$73/Prix!C40</f>
        <v>13079.451255810678</v>
      </c>
      <c r="H38" s="590">
        <f>D38*Prix!D$73/Prix!D40</f>
        <v>13079.451255810678</v>
      </c>
      <c r="I38" s="590">
        <f>E38*Prix!E$73/Prix!E40</f>
        <v>13079.451255810678</v>
      </c>
      <c r="J38" s="591">
        <f>F38*Prix!F$73/Prix!F40</f>
        <v>13079.451255810678</v>
      </c>
      <c r="K38" s="593">
        <f t="shared" si="3"/>
        <v>0.12101562399573784</v>
      </c>
      <c r="L38" s="594">
        <f t="shared" si="3"/>
        <v>0.12101562399573784</v>
      </c>
      <c r="M38" s="594">
        <f t="shared" si="3"/>
        <v>0.12101562399573784</v>
      </c>
      <c r="N38" s="595">
        <f t="shared" si="3"/>
        <v>0.12101562399573784</v>
      </c>
      <c r="O38" s="596">
        <f t="shared" si="3"/>
        <v>2.2607536029105146E-2</v>
      </c>
      <c r="P38" s="594">
        <f t="shared" si="3"/>
        <v>2.2607536029105146E-2</v>
      </c>
      <c r="Q38" s="594">
        <f t="shared" si="3"/>
        <v>2.2607536029105146E-2</v>
      </c>
      <c r="R38" s="597">
        <f t="shared" si="3"/>
        <v>2.2607536029105146E-2</v>
      </c>
      <c r="S38" s="598"/>
    </row>
    <row r="39" spans="2:19" ht="15" customHeight="1" x14ac:dyDescent="0.25">
      <c r="B39" s="588">
        <v>1984</v>
      </c>
      <c r="C39" s="589">
        <v>7274.5551069083722</v>
      </c>
      <c r="D39" s="590">
        <f t="shared" si="4"/>
        <v>7274.5551069083722</v>
      </c>
      <c r="E39" s="590">
        <f t="shared" si="4"/>
        <v>7274.5551069083722</v>
      </c>
      <c r="F39" s="591">
        <f t="shared" si="4"/>
        <v>7274.5551069083722</v>
      </c>
      <c r="G39" s="592">
        <f>C39*Prix!C$73/Prix!C41</f>
        <v>13325.378142440681</v>
      </c>
      <c r="H39" s="590">
        <f>D39*Prix!D$73/Prix!D41</f>
        <v>13325.378142440681</v>
      </c>
      <c r="I39" s="590">
        <f>E39*Prix!E$73/Prix!E41</f>
        <v>13325.378142440681</v>
      </c>
      <c r="J39" s="591">
        <f>F39*Prix!F$73/Prix!F41</f>
        <v>13325.378142440681</v>
      </c>
      <c r="K39" s="593">
        <f t="shared" si="3"/>
        <v>9.4232341595663849E-2</v>
      </c>
      <c r="L39" s="594">
        <f t="shared" si="3"/>
        <v>9.4232341595663849E-2</v>
      </c>
      <c r="M39" s="594">
        <f t="shared" si="3"/>
        <v>9.4232341595663849E-2</v>
      </c>
      <c r="N39" s="595">
        <f t="shared" si="3"/>
        <v>9.4232341595663849E-2</v>
      </c>
      <c r="O39" s="596">
        <f t="shared" si="3"/>
        <v>1.8802538563744919E-2</v>
      </c>
      <c r="P39" s="594">
        <f t="shared" si="3"/>
        <v>1.8802538563744919E-2</v>
      </c>
      <c r="Q39" s="594">
        <f t="shared" si="3"/>
        <v>1.8802538563744919E-2</v>
      </c>
      <c r="R39" s="597">
        <f t="shared" si="3"/>
        <v>1.8802538563744919E-2</v>
      </c>
      <c r="S39" s="598"/>
    </row>
    <row r="40" spans="2:19" ht="15" customHeight="1" x14ac:dyDescent="0.25">
      <c r="B40" s="588">
        <v>1985</v>
      </c>
      <c r="C40" s="589">
        <v>7867.8242795776314</v>
      </c>
      <c r="D40" s="590">
        <f t="shared" si="4"/>
        <v>7867.8242795776314</v>
      </c>
      <c r="E40" s="590">
        <f t="shared" si="4"/>
        <v>7867.8242795776314</v>
      </c>
      <c r="F40" s="591">
        <f t="shared" si="4"/>
        <v>7867.8242795776314</v>
      </c>
      <c r="G40" s="592">
        <f>C40*Prix!C$73/Prix!C42</f>
        <v>13620.159604770815</v>
      </c>
      <c r="H40" s="590">
        <f>D40*Prix!D$73/Prix!D42</f>
        <v>13620.159604770815</v>
      </c>
      <c r="I40" s="590">
        <f>E40*Prix!E$73/Prix!E42</f>
        <v>13620.159604770815</v>
      </c>
      <c r="J40" s="591">
        <f>F40*Prix!F$73/Prix!F42</f>
        <v>13620.159604770815</v>
      </c>
      <c r="K40" s="593">
        <f t="shared" si="3"/>
        <v>8.1554014499918281E-2</v>
      </c>
      <c r="L40" s="594">
        <f t="shared" si="3"/>
        <v>8.1554014499918281E-2</v>
      </c>
      <c r="M40" s="594">
        <f t="shared" si="3"/>
        <v>8.1554014499918281E-2</v>
      </c>
      <c r="N40" s="595">
        <f t="shared" si="3"/>
        <v>8.1554014499918281E-2</v>
      </c>
      <c r="O40" s="596">
        <f t="shared" si="3"/>
        <v>2.2121808415422661E-2</v>
      </c>
      <c r="P40" s="594">
        <f t="shared" si="3"/>
        <v>2.2121808415422661E-2</v>
      </c>
      <c r="Q40" s="594">
        <f t="shared" si="3"/>
        <v>2.2121808415422661E-2</v>
      </c>
      <c r="R40" s="597">
        <f t="shared" si="3"/>
        <v>2.2121808415422661E-2</v>
      </c>
      <c r="S40" s="598"/>
    </row>
    <row r="41" spans="2:19" ht="15" customHeight="1" x14ac:dyDescent="0.25">
      <c r="B41" s="588">
        <v>1986</v>
      </c>
      <c r="C41" s="589">
        <v>8201.8258589076831</v>
      </c>
      <c r="D41" s="590">
        <f t="shared" si="4"/>
        <v>8201.8258589076831</v>
      </c>
      <c r="E41" s="590">
        <f t="shared" si="4"/>
        <v>8201.8258589076831</v>
      </c>
      <c r="F41" s="591">
        <f t="shared" si="4"/>
        <v>8201.8258589076831</v>
      </c>
      <c r="G41" s="592">
        <f>C41*Prix!C$73/Prix!C43</f>
        <v>13830.313323436658</v>
      </c>
      <c r="H41" s="590">
        <f>D41*Prix!D$73/Prix!D43</f>
        <v>13830.313323436658</v>
      </c>
      <c r="I41" s="590">
        <f>E41*Prix!E$73/Prix!E43</f>
        <v>13830.313323436658</v>
      </c>
      <c r="J41" s="591">
        <f>F41*Prix!F$73/Prix!F43</f>
        <v>13830.313323436658</v>
      </c>
      <c r="K41" s="593">
        <f t="shared" si="3"/>
        <v>4.2451580953201118E-2</v>
      </c>
      <c r="L41" s="594">
        <f t="shared" si="3"/>
        <v>4.2451580953201118E-2</v>
      </c>
      <c r="M41" s="594">
        <f t="shared" si="3"/>
        <v>4.2451580953201118E-2</v>
      </c>
      <c r="N41" s="595">
        <f t="shared" si="3"/>
        <v>4.2451580953201118E-2</v>
      </c>
      <c r="O41" s="596">
        <f t="shared" si="3"/>
        <v>1.5429607637801102E-2</v>
      </c>
      <c r="P41" s="594">
        <f t="shared" si="3"/>
        <v>1.5429607637801102E-2</v>
      </c>
      <c r="Q41" s="594">
        <f t="shared" si="3"/>
        <v>1.5429607637801102E-2</v>
      </c>
      <c r="R41" s="597">
        <f t="shared" si="3"/>
        <v>1.5429607637801102E-2</v>
      </c>
      <c r="S41" s="598"/>
    </row>
    <row r="42" spans="2:19" ht="15" customHeight="1" x14ac:dyDescent="0.25">
      <c r="B42" s="588">
        <v>1987</v>
      </c>
      <c r="C42" s="589">
        <v>8533.3202241100807</v>
      </c>
      <c r="D42" s="590">
        <f t="shared" si="4"/>
        <v>8533.3202241100807</v>
      </c>
      <c r="E42" s="590">
        <f t="shared" si="4"/>
        <v>8533.3202241100807</v>
      </c>
      <c r="F42" s="591">
        <f t="shared" si="4"/>
        <v>8533.3202241100807</v>
      </c>
      <c r="G42" s="592">
        <f>C42*Prix!C$73/Prix!C44</f>
        <v>13950.196149662988</v>
      </c>
      <c r="H42" s="590">
        <f>D42*Prix!D$73/Prix!D44</f>
        <v>13950.196149662988</v>
      </c>
      <c r="I42" s="590">
        <f>E42*Prix!E$73/Prix!E44</f>
        <v>13950.196149662988</v>
      </c>
      <c r="J42" s="591">
        <f>F42*Prix!F$73/Prix!F44</f>
        <v>13950.196149662988</v>
      </c>
      <c r="K42" s="593">
        <f t="shared" si="3"/>
        <v>4.0417142585680965E-2</v>
      </c>
      <c r="L42" s="594">
        <f t="shared" si="3"/>
        <v>4.0417142585680965E-2</v>
      </c>
      <c r="M42" s="594">
        <f t="shared" si="3"/>
        <v>4.0417142585680965E-2</v>
      </c>
      <c r="N42" s="595">
        <f t="shared" si="3"/>
        <v>4.0417142585680965E-2</v>
      </c>
      <c r="O42" s="596">
        <f t="shared" si="3"/>
        <v>8.6681207737484556E-3</v>
      </c>
      <c r="P42" s="594">
        <f t="shared" si="3"/>
        <v>8.6681207737484556E-3</v>
      </c>
      <c r="Q42" s="594">
        <f t="shared" si="3"/>
        <v>8.6681207737484556E-3</v>
      </c>
      <c r="R42" s="597">
        <f t="shared" si="3"/>
        <v>8.6681207737484556E-3</v>
      </c>
      <c r="S42" s="598"/>
    </row>
    <row r="43" spans="2:19" ht="15" customHeight="1" x14ac:dyDescent="0.25">
      <c r="B43" s="588">
        <v>1988</v>
      </c>
      <c r="C43" s="589">
        <v>8766.4106931039605</v>
      </c>
      <c r="D43" s="590">
        <f t="shared" si="4"/>
        <v>8766.4106931039605</v>
      </c>
      <c r="E43" s="590">
        <f t="shared" si="4"/>
        <v>8766.4106931039605</v>
      </c>
      <c r="F43" s="591">
        <f t="shared" si="4"/>
        <v>8766.4106931039605</v>
      </c>
      <c r="G43" s="592">
        <f>C43*Prix!C$73/Prix!C45</f>
        <v>13955.49059645884</v>
      </c>
      <c r="H43" s="590">
        <f>D43*Prix!D$73/Prix!D45</f>
        <v>13955.49059645884</v>
      </c>
      <c r="I43" s="590">
        <f>E43*Prix!E$73/Prix!E45</f>
        <v>13955.49059645884</v>
      </c>
      <c r="J43" s="591">
        <f>F43*Prix!F$73/Prix!F45</f>
        <v>13955.49059645884</v>
      </c>
      <c r="K43" s="593">
        <f t="shared" si="3"/>
        <v>2.7315331298045642E-2</v>
      </c>
      <c r="L43" s="594">
        <f t="shared" si="3"/>
        <v>2.7315331298045642E-2</v>
      </c>
      <c r="M43" s="594">
        <f t="shared" si="3"/>
        <v>2.7315331298045642E-2</v>
      </c>
      <c r="N43" s="595">
        <f t="shared" si="3"/>
        <v>2.7315331298045642E-2</v>
      </c>
      <c r="O43" s="596">
        <f t="shared" si="3"/>
        <v>3.7952489979709014E-4</v>
      </c>
      <c r="P43" s="594">
        <f t="shared" si="3"/>
        <v>3.7952489979709014E-4</v>
      </c>
      <c r="Q43" s="594">
        <f t="shared" si="3"/>
        <v>3.7952489979709014E-4</v>
      </c>
      <c r="R43" s="597">
        <f t="shared" si="3"/>
        <v>3.7952489979709014E-4</v>
      </c>
      <c r="S43" s="598"/>
    </row>
    <row r="44" spans="2:19" ht="15" customHeight="1" x14ac:dyDescent="0.25">
      <c r="B44" s="588">
        <v>1989</v>
      </c>
      <c r="C44" s="589">
        <v>9132.8662727036008</v>
      </c>
      <c r="D44" s="590">
        <f t="shared" si="4"/>
        <v>9132.8662727036008</v>
      </c>
      <c r="E44" s="590">
        <f t="shared" si="4"/>
        <v>9132.8662727036008</v>
      </c>
      <c r="F44" s="591">
        <f t="shared" si="4"/>
        <v>9132.8662727036008</v>
      </c>
      <c r="G44" s="592">
        <f>C44*Prix!C$73/Prix!C46</f>
        <v>14032.677042936299</v>
      </c>
      <c r="H44" s="590">
        <f>D44*Prix!D$73/Prix!D46</f>
        <v>14032.677042936299</v>
      </c>
      <c r="I44" s="590">
        <f>E44*Prix!E$73/Prix!E46</f>
        <v>14032.677042936299</v>
      </c>
      <c r="J44" s="591">
        <f>F44*Prix!F$73/Prix!F46</f>
        <v>14032.677042936299</v>
      </c>
      <c r="K44" s="593">
        <f t="shared" si="3"/>
        <v>4.1802237247213325E-2</v>
      </c>
      <c r="L44" s="594">
        <f t="shared" si="3"/>
        <v>4.1802237247213325E-2</v>
      </c>
      <c r="M44" s="594">
        <f t="shared" si="3"/>
        <v>4.1802237247213325E-2</v>
      </c>
      <c r="N44" s="595">
        <f t="shared" si="3"/>
        <v>4.1802237247213325E-2</v>
      </c>
      <c r="O44" s="596">
        <f t="shared" si="3"/>
        <v>5.5309016866125216E-3</v>
      </c>
      <c r="P44" s="594">
        <f t="shared" si="3"/>
        <v>5.5309016866125216E-3</v>
      </c>
      <c r="Q44" s="594">
        <f t="shared" si="3"/>
        <v>5.5309016866125216E-3</v>
      </c>
      <c r="R44" s="597">
        <f t="shared" si="3"/>
        <v>5.5309016866125216E-3</v>
      </c>
      <c r="S44" s="598"/>
    </row>
    <row r="45" spans="2:19" ht="15" customHeight="1" x14ac:dyDescent="0.25">
      <c r="B45" s="588">
        <v>1990</v>
      </c>
      <c r="C45" s="589">
        <v>9524.2711971117569</v>
      </c>
      <c r="D45" s="590">
        <f t="shared" si="4"/>
        <v>9524.2711971117569</v>
      </c>
      <c r="E45" s="590">
        <f t="shared" si="4"/>
        <v>9524.2711971117569</v>
      </c>
      <c r="F45" s="591">
        <f t="shared" si="4"/>
        <v>9524.2711971117569</v>
      </c>
      <c r="G45" s="592">
        <f>C45*Prix!C$73/Prix!C47</f>
        <v>14156.401906923677</v>
      </c>
      <c r="H45" s="590">
        <f>D45*Prix!D$73/Prix!D47</f>
        <v>14156.401906923677</v>
      </c>
      <c r="I45" s="590">
        <f>E45*Prix!E$73/Prix!E47</f>
        <v>14156.401906923677</v>
      </c>
      <c r="J45" s="591">
        <f>F45*Prix!F$73/Prix!F47</f>
        <v>14156.401906923677</v>
      </c>
      <c r="K45" s="593">
        <f t="shared" si="3"/>
        <v>4.2856745376639527E-2</v>
      </c>
      <c r="L45" s="594">
        <f t="shared" si="3"/>
        <v>4.2856745376639527E-2</v>
      </c>
      <c r="M45" s="594">
        <f t="shared" si="3"/>
        <v>4.2856745376639527E-2</v>
      </c>
      <c r="N45" s="595">
        <f t="shared" si="3"/>
        <v>4.2856745376639527E-2</v>
      </c>
      <c r="O45" s="596">
        <f t="shared" si="3"/>
        <v>8.8169109578173366E-3</v>
      </c>
      <c r="P45" s="594">
        <f t="shared" si="3"/>
        <v>8.8169109578173366E-3</v>
      </c>
      <c r="Q45" s="594">
        <f t="shared" si="3"/>
        <v>8.8169109578173366E-3</v>
      </c>
      <c r="R45" s="597">
        <f t="shared" si="3"/>
        <v>8.8169109578173366E-3</v>
      </c>
      <c r="S45" s="598"/>
    </row>
    <row r="46" spans="2:19" ht="15" customHeight="1" x14ac:dyDescent="0.25">
      <c r="B46" s="588">
        <v>1991</v>
      </c>
      <c r="C46" s="589">
        <v>9986.9961990700976</v>
      </c>
      <c r="D46" s="590">
        <f t="shared" si="4"/>
        <v>9986.9961990700976</v>
      </c>
      <c r="E46" s="590">
        <f t="shared" si="4"/>
        <v>9986.9961990700976</v>
      </c>
      <c r="F46" s="591">
        <f t="shared" si="4"/>
        <v>9986.9961990700976</v>
      </c>
      <c r="G46" s="592">
        <f>C46*Prix!C$73/Prix!C48</f>
        <v>14374.960908374173</v>
      </c>
      <c r="H46" s="590">
        <f>D46*Prix!D$73/Prix!D48</f>
        <v>14374.960908374173</v>
      </c>
      <c r="I46" s="590">
        <f>E46*Prix!E$73/Prix!E48</f>
        <v>14374.960908374173</v>
      </c>
      <c r="J46" s="591">
        <f>F46*Prix!F$73/Prix!F48</f>
        <v>14374.960908374173</v>
      </c>
      <c r="K46" s="593">
        <f t="shared" si="3"/>
        <v>4.8583770073521437E-2</v>
      </c>
      <c r="L46" s="594">
        <f t="shared" si="3"/>
        <v>4.8583770073521437E-2</v>
      </c>
      <c r="M46" s="594">
        <f t="shared" si="3"/>
        <v>4.8583770073521437E-2</v>
      </c>
      <c r="N46" s="595">
        <f t="shared" si="3"/>
        <v>4.8583770073521437E-2</v>
      </c>
      <c r="O46" s="596">
        <f t="shared" si="3"/>
        <v>1.5438880789588438E-2</v>
      </c>
      <c r="P46" s="594">
        <f t="shared" si="3"/>
        <v>1.5438880789588438E-2</v>
      </c>
      <c r="Q46" s="594">
        <f t="shared" si="3"/>
        <v>1.5438880789588438E-2</v>
      </c>
      <c r="R46" s="597">
        <f t="shared" si="3"/>
        <v>1.5438880789588438E-2</v>
      </c>
      <c r="S46" s="598"/>
    </row>
    <row r="47" spans="2:19" ht="15" customHeight="1" x14ac:dyDescent="0.25">
      <c r="B47" s="588">
        <v>1992</v>
      </c>
      <c r="C47" s="589">
        <v>10381.966710782748</v>
      </c>
      <c r="D47" s="590">
        <f t="shared" si="4"/>
        <v>10381.966710782748</v>
      </c>
      <c r="E47" s="590">
        <f t="shared" si="4"/>
        <v>10381.966710782748</v>
      </c>
      <c r="F47" s="591">
        <f t="shared" si="4"/>
        <v>10381.966710782748</v>
      </c>
      <c r="G47" s="592">
        <f>C47*Prix!C$73/Prix!C49</f>
        <v>14607.66046469404</v>
      </c>
      <c r="H47" s="590">
        <f>D47*Prix!D$73/Prix!D49</f>
        <v>14607.66046469404</v>
      </c>
      <c r="I47" s="590">
        <f>E47*Prix!E$73/Prix!E49</f>
        <v>14607.66046469404</v>
      </c>
      <c r="J47" s="591">
        <f>F47*Prix!F$73/Prix!F49</f>
        <v>14607.66046469404</v>
      </c>
      <c r="K47" s="593">
        <f t="shared" si="3"/>
        <v>3.9548479226358957E-2</v>
      </c>
      <c r="L47" s="594">
        <f t="shared" si="3"/>
        <v>3.9548479226358957E-2</v>
      </c>
      <c r="M47" s="594">
        <f t="shared" si="3"/>
        <v>3.9548479226358957E-2</v>
      </c>
      <c r="N47" s="595">
        <f t="shared" si="3"/>
        <v>3.9548479226358957E-2</v>
      </c>
      <c r="O47" s="596">
        <f t="shared" si="3"/>
        <v>1.6187839243744229E-2</v>
      </c>
      <c r="P47" s="594">
        <f t="shared" si="3"/>
        <v>1.6187839243744229E-2</v>
      </c>
      <c r="Q47" s="594">
        <f t="shared" si="3"/>
        <v>1.6187839243744229E-2</v>
      </c>
      <c r="R47" s="597">
        <f t="shared" si="3"/>
        <v>1.6187839243744229E-2</v>
      </c>
      <c r="S47" s="598"/>
    </row>
    <row r="48" spans="2:19" ht="15" customHeight="1" x14ac:dyDescent="0.25">
      <c r="B48" s="588">
        <v>1993</v>
      </c>
      <c r="C48" s="589">
        <v>10650.222098378861</v>
      </c>
      <c r="D48" s="590">
        <f t="shared" si="4"/>
        <v>10650.222098378861</v>
      </c>
      <c r="E48" s="590">
        <f t="shared" si="4"/>
        <v>10650.222098378861</v>
      </c>
      <c r="F48" s="591">
        <f t="shared" si="4"/>
        <v>10650.222098378861</v>
      </c>
      <c r="G48" s="592">
        <f>C48*Prix!C$73/Prix!C50</f>
        <v>14675.918154272274</v>
      </c>
      <c r="H48" s="590">
        <f>D48*Prix!D$73/Prix!D50</f>
        <v>14675.918154272274</v>
      </c>
      <c r="I48" s="590">
        <f>E48*Prix!E$73/Prix!E50</f>
        <v>14675.918154272274</v>
      </c>
      <c r="J48" s="591">
        <f>F48*Prix!F$73/Prix!F50</f>
        <v>14675.918154272274</v>
      </c>
      <c r="K48" s="593">
        <f t="shared" si="3"/>
        <v>2.5838590612846213E-2</v>
      </c>
      <c r="L48" s="594">
        <f t="shared" si="3"/>
        <v>2.5838590612846213E-2</v>
      </c>
      <c r="M48" s="594">
        <f t="shared" si="3"/>
        <v>2.5838590612846213E-2</v>
      </c>
      <c r="N48" s="595">
        <f t="shared" si="3"/>
        <v>2.5838590612846213E-2</v>
      </c>
      <c r="O48" s="596">
        <f t="shared" si="3"/>
        <v>4.6727324846582707E-3</v>
      </c>
      <c r="P48" s="594">
        <f t="shared" si="3"/>
        <v>4.6727324846582707E-3</v>
      </c>
      <c r="Q48" s="594">
        <f t="shared" si="3"/>
        <v>4.6727324846582707E-3</v>
      </c>
      <c r="R48" s="597">
        <f t="shared" si="3"/>
        <v>4.6727324846582707E-3</v>
      </c>
      <c r="S48" s="598"/>
    </row>
    <row r="49" spans="2:19" ht="15" customHeight="1" x14ac:dyDescent="0.25">
      <c r="B49" s="588">
        <v>1994</v>
      </c>
      <c r="C49" s="589">
        <v>10882.046231688968</v>
      </c>
      <c r="D49" s="590">
        <f t="shared" si="4"/>
        <v>10882.046231688968</v>
      </c>
      <c r="E49" s="590">
        <f t="shared" si="4"/>
        <v>10882.046231688968</v>
      </c>
      <c r="F49" s="591">
        <f t="shared" si="4"/>
        <v>10882.046231688968</v>
      </c>
      <c r="G49" s="592">
        <f>C49*Prix!C$73/Prix!C51</f>
        <v>14751.872685935055</v>
      </c>
      <c r="H49" s="590">
        <f>D49*Prix!D$73/Prix!D51</f>
        <v>14751.872685935055</v>
      </c>
      <c r="I49" s="590">
        <f>E49*Prix!E$73/Prix!E51</f>
        <v>14751.872685935055</v>
      </c>
      <c r="J49" s="591">
        <f>F49*Prix!F$73/Prix!F51</f>
        <v>14751.872685935055</v>
      </c>
      <c r="K49" s="593">
        <f t="shared" si="3"/>
        <v>2.1767070317284309E-2</v>
      </c>
      <c r="L49" s="594">
        <f t="shared" si="3"/>
        <v>2.1767070317284309E-2</v>
      </c>
      <c r="M49" s="594">
        <f t="shared" si="3"/>
        <v>2.1767070317284309E-2</v>
      </c>
      <c r="N49" s="595">
        <f t="shared" si="3"/>
        <v>2.1767070317284309E-2</v>
      </c>
      <c r="O49" s="596">
        <f t="shared" si="3"/>
        <v>5.1754534785730666E-3</v>
      </c>
      <c r="P49" s="594">
        <f t="shared" si="3"/>
        <v>5.1754534785730666E-3</v>
      </c>
      <c r="Q49" s="594">
        <f t="shared" si="3"/>
        <v>5.1754534785730666E-3</v>
      </c>
      <c r="R49" s="597">
        <f t="shared" si="3"/>
        <v>5.1754534785730666E-3</v>
      </c>
      <c r="S49" s="598"/>
    </row>
    <row r="50" spans="2:19" ht="15" customHeight="1" x14ac:dyDescent="0.25">
      <c r="B50" s="588">
        <v>1995</v>
      </c>
      <c r="C50" s="589">
        <v>11215.277012081126</v>
      </c>
      <c r="D50" s="590">
        <f t="shared" si="4"/>
        <v>11215.277012081126</v>
      </c>
      <c r="E50" s="590">
        <f t="shared" si="4"/>
        <v>11215.277012081126</v>
      </c>
      <c r="F50" s="591">
        <f t="shared" si="4"/>
        <v>11215.277012081126</v>
      </c>
      <c r="G50" s="592">
        <f>C50*Prix!C$73/Prix!C52</f>
        <v>14920.935605183096</v>
      </c>
      <c r="H50" s="590">
        <f>D50*Prix!D$73/Prix!D52</f>
        <v>14920.935605183096</v>
      </c>
      <c r="I50" s="590">
        <f>E50*Prix!E$73/Prix!E52</f>
        <v>14920.935605183096</v>
      </c>
      <c r="J50" s="591">
        <f>F50*Prix!F$73/Prix!F52</f>
        <v>14920.935605183096</v>
      </c>
      <c r="K50" s="593">
        <f t="shared" si="3"/>
        <v>3.0622069902788596E-2</v>
      </c>
      <c r="L50" s="594">
        <f t="shared" si="3"/>
        <v>3.0622069902788596E-2</v>
      </c>
      <c r="M50" s="594">
        <f t="shared" si="3"/>
        <v>3.0622069902788596E-2</v>
      </c>
      <c r="N50" s="595">
        <f t="shared" si="3"/>
        <v>3.0622069902788596E-2</v>
      </c>
      <c r="O50" s="596">
        <f t="shared" si="3"/>
        <v>1.1460437793042511E-2</v>
      </c>
      <c r="P50" s="594">
        <f t="shared" si="3"/>
        <v>1.1460437793042511E-2</v>
      </c>
      <c r="Q50" s="594">
        <f t="shared" si="3"/>
        <v>1.1460437793042511E-2</v>
      </c>
      <c r="R50" s="597">
        <f t="shared" si="3"/>
        <v>1.1460437793042511E-2</v>
      </c>
      <c r="S50" s="598"/>
    </row>
    <row r="51" spans="2:19" ht="15" customHeight="1" x14ac:dyDescent="0.25">
      <c r="B51" s="588">
        <v>1996</v>
      </c>
      <c r="C51" s="589">
        <v>11615.659732993792</v>
      </c>
      <c r="D51" s="590">
        <f t="shared" si="4"/>
        <v>11615.659732993792</v>
      </c>
      <c r="E51" s="590">
        <f t="shared" si="4"/>
        <v>11615.659732993792</v>
      </c>
      <c r="F51" s="591">
        <f t="shared" si="4"/>
        <v>11615.659732993792</v>
      </c>
      <c r="G51" s="592">
        <f>C51*Prix!C$73/Prix!C53</f>
        <v>15151.781146501538</v>
      </c>
      <c r="H51" s="590">
        <f>D51*Prix!D$73/Prix!D53</f>
        <v>15151.781146501538</v>
      </c>
      <c r="I51" s="590">
        <f>E51*Prix!E$73/Prix!E53</f>
        <v>15151.781146501538</v>
      </c>
      <c r="J51" s="591">
        <f>F51*Prix!F$73/Prix!F53</f>
        <v>15151.781146501538</v>
      </c>
      <c r="K51" s="593">
        <f t="shared" si="3"/>
        <v>3.5699762072873842E-2</v>
      </c>
      <c r="L51" s="594">
        <f t="shared" si="3"/>
        <v>3.5699762072873842E-2</v>
      </c>
      <c r="M51" s="594">
        <f t="shared" si="3"/>
        <v>3.5699762072873842E-2</v>
      </c>
      <c r="N51" s="595">
        <f t="shared" si="3"/>
        <v>3.5699762072873842E-2</v>
      </c>
      <c r="O51" s="596">
        <f t="shared" si="3"/>
        <v>1.5471251094888006E-2</v>
      </c>
      <c r="P51" s="594">
        <f t="shared" si="3"/>
        <v>1.5471251094888006E-2</v>
      </c>
      <c r="Q51" s="594">
        <f t="shared" si="3"/>
        <v>1.5471251094888006E-2</v>
      </c>
      <c r="R51" s="597">
        <f t="shared" si="3"/>
        <v>1.5471251094888006E-2</v>
      </c>
      <c r="S51" s="598"/>
    </row>
    <row r="52" spans="2:19" ht="15" customHeight="1" x14ac:dyDescent="0.25">
      <c r="B52" s="588">
        <v>1997</v>
      </c>
      <c r="C52" s="589">
        <v>11957.403923549029</v>
      </c>
      <c r="D52" s="590">
        <f t="shared" si="4"/>
        <v>11957.403923549029</v>
      </c>
      <c r="E52" s="590">
        <f t="shared" si="4"/>
        <v>11957.403923549029</v>
      </c>
      <c r="F52" s="591">
        <f t="shared" si="4"/>
        <v>11957.403923549029</v>
      </c>
      <c r="G52" s="592">
        <f>C52*Prix!C$73/Prix!C54</f>
        <v>15416.894788431682</v>
      </c>
      <c r="H52" s="590">
        <f>D52*Prix!D$73/Prix!D54</f>
        <v>15416.894788431682</v>
      </c>
      <c r="I52" s="590">
        <f>E52*Prix!E$73/Prix!E54</f>
        <v>15416.894788431682</v>
      </c>
      <c r="J52" s="591">
        <f>F52*Prix!F$73/Prix!F54</f>
        <v>15416.894788431682</v>
      </c>
      <c r="K52" s="593">
        <f t="shared" si="3"/>
        <v>2.9420988425179706E-2</v>
      </c>
      <c r="L52" s="594">
        <f t="shared" si="3"/>
        <v>2.9420988425179706E-2</v>
      </c>
      <c r="M52" s="594">
        <f t="shared" si="3"/>
        <v>2.9420988425179706E-2</v>
      </c>
      <c r="N52" s="595">
        <f t="shared" si="3"/>
        <v>2.9420988425179706E-2</v>
      </c>
      <c r="O52" s="596">
        <f t="shared" si="3"/>
        <v>1.7497193192455684E-2</v>
      </c>
      <c r="P52" s="594">
        <f t="shared" si="3"/>
        <v>1.7497193192455684E-2</v>
      </c>
      <c r="Q52" s="594">
        <f t="shared" si="3"/>
        <v>1.7497193192455684E-2</v>
      </c>
      <c r="R52" s="597">
        <f t="shared" si="3"/>
        <v>1.7497193192455684E-2</v>
      </c>
      <c r="S52" s="598"/>
    </row>
    <row r="53" spans="2:19" ht="15" customHeight="1" x14ac:dyDescent="0.25">
      <c r="B53" s="588">
        <v>1998</v>
      </c>
      <c r="C53" s="589">
        <v>12313.563854764032</v>
      </c>
      <c r="D53" s="590">
        <f t="shared" si="4"/>
        <v>12313.563854764032</v>
      </c>
      <c r="E53" s="590">
        <f t="shared" si="4"/>
        <v>12313.563854764032</v>
      </c>
      <c r="F53" s="591">
        <f t="shared" si="4"/>
        <v>12313.563854764032</v>
      </c>
      <c r="G53" s="592">
        <f>C53*Prix!C$73/Prix!C55</f>
        <v>15774.588580182362</v>
      </c>
      <c r="H53" s="590">
        <f>D53*Prix!D$73/Prix!D55</f>
        <v>15774.588580182362</v>
      </c>
      <c r="I53" s="590">
        <f>E53*Prix!E$73/Prix!E55</f>
        <v>15774.588580182362</v>
      </c>
      <c r="J53" s="591">
        <f>F53*Prix!F$73/Prix!F55</f>
        <v>15774.588580182362</v>
      </c>
      <c r="K53" s="593">
        <f t="shared" si="3"/>
        <v>2.9785723848767764E-2</v>
      </c>
      <c r="L53" s="594">
        <f t="shared" si="3"/>
        <v>2.9785723848767764E-2</v>
      </c>
      <c r="M53" s="594">
        <f t="shared" si="3"/>
        <v>2.9785723848767764E-2</v>
      </c>
      <c r="N53" s="595">
        <f t="shared" si="3"/>
        <v>2.9785723848767764E-2</v>
      </c>
      <c r="O53" s="596">
        <f t="shared" si="3"/>
        <v>2.3201416151525045E-2</v>
      </c>
      <c r="P53" s="594">
        <f t="shared" si="3"/>
        <v>2.3201416151525045E-2</v>
      </c>
      <c r="Q53" s="594">
        <f t="shared" si="3"/>
        <v>2.3201416151525045E-2</v>
      </c>
      <c r="R53" s="597">
        <f t="shared" si="3"/>
        <v>2.3201416151525045E-2</v>
      </c>
      <c r="S53" s="598"/>
    </row>
    <row r="54" spans="2:19" ht="15" customHeight="1" x14ac:dyDescent="0.25">
      <c r="B54" s="588">
        <v>1999</v>
      </c>
      <c r="C54" s="589">
        <v>12512.607857418654</v>
      </c>
      <c r="D54" s="590">
        <f t="shared" ref="D54:F69" si="5">C54</f>
        <v>12512.607857418654</v>
      </c>
      <c r="E54" s="590">
        <f t="shared" si="5"/>
        <v>12512.607857418654</v>
      </c>
      <c r="F54" s="591">
        <f t="shared" si="5"/>
        <v>12512.607857418654</v>
      </c>
      <c r="G54" s="592">
        <f>C54*Prix!C$73/Prix!C56</f>
        <v>15948.003246262098</v>
      </c>
      <c r="H54" s="590">
        <f>D54*Prix!D$73/Prix!D56</f>
        <v>15948.003246262098</v>
      </c>
      <c r="I54" s="590">
        <f>E54*Prix!E$73/Prix!E56</f>
        <v>15948.003246262098</v>
      </c>
      <c r="J54" s="591">
        <f>F54*Prix!F$73/Prix!F56</f>
        <v>15948.003246262098</v>
      </c>
      <c r="K54" s="593">
        <f t="shared" si="3"/>
        <v>1.6164613673369077E-2</v>
      </c>
      <c r="L54" s="594">
        <f t="shared" si="3"/>
        <v>1.6164613673369077E-2</v>
      </c>
      <c r="M54" s="594">
        <f t="shared" si="3"/>
        <v>1.6164613673369077E-2</v>
      </c>
      <c r="N54" s="595">
        <f t="shared" si="3"/>
        <v>1.6164613673369077E-2</v>
      </c>
      <c r="O54" s="596">
        <f t="shared" si="3"/>
        <v>1.0993292484191786E-2</v>
      </c>
      <c r="P54" s="594">
        <f t="shared" si="3"/>
        <v>1.0993292484191786E-2</v>
      </c>
      <c r="Q54" s="594">
        <f t="shared" si="3"/>
        <v>1.0993292484191786E-2</v>
      </c>
      <c r="R54" s="597">
        <f t="shared" ref="R54:R73" si="6">J54/J53-1</f>
        <v>1.0993292484191786E-2</v>
      </c>
      <c r="S54" s="598"/>
    </row>
    <row r="55" spans="2:19" ht="15" customHeight="1" x14ac:dyDescent="0.25">
      <c r="B55" s="588">
        <v>2000</v>
      </c>
      <c r="C55" s="589">
        <v>12791.320662587415</v>
      </c>
      <c r="D55" s="590">
        <f t="shared" si="5"/>
        <v>12791.320662587415</v>
      </c>
      <c r="E55" s="590">
        <f t="shared" si="5"/>
        <v>12791.320662587415</v>
      </c>
      <c r="F55" s="591">
        <f t="shared" si="5"/>
        <v>12791.320662587415</v>
      </c>
      <c r="G55" s="592">
        <f>C55*Prix!C$73/Prix!C57</f>
        <v>16037.97877319158</v>
      </c>
      <c r="H55" s="590">
        <f>D55*Prix!D$73/Prix!D57</f>
        <v>16037.97877319158</v>
      </c>
      <c r="I55" s="590">
        <f>E55*Prix!E$73/Prix!E57</f>
        <v>16037.97877319158</v>
      </c>
      <c r="J55" s="591">
        <f>F55*Prix!F$73/Prix!F57</f>
        <v>16037.97877319158</v>
      </c>
      <c r="K55" s="593">
        <f t="shared" ref="K55:Q104" si="7">C55/C54-1</f>
        <v>2.2274557657739891E-2</v>
      </c>
      <c r="L55" s="594">
        <f t="shared" si="7"/>
        <v>2.2274557657739891E-2</v>
      </c>
      <c r="M55" s="594">
        <f t="shared" si="7"/>
        <v>2.2274557657739891E-2</v>
      </c>
      <c r="N55" s="595">
        <f t="shared" si="7"/>
        <v>2.2274557657739891E-2</v>
      </c>
      <c r="O55" s="596">
        <f t="shared" si="7"/>
        <v>5.6418051551732074E-3</v>
      </c>
      <c r="P55" s="594">
        <f t="shared" si="7"/>
        <v>5.6418051551732074E-3</v>
      </c>
      <c r="Q55" s="594">
        <f t="shared" si="7"/>
        <v>5.6418051551732074E-3</v>
      </c>
      <c r="R55" s="597">
        <f t="shared" si="6"/>
        <v>5.6418051551732074E-3</v>
      </c>
      <c r="S55" s="598"/>
    </row>
    <row r="56" spans="2:19" ht="15" customHeight="1" x14ac:dyDescent="0.25">
      <c r="B56" s="588">
        <v>2001</v>
      </c>
      <c r="C56" s="589">
        <v>13256.132371356369</v>
      </c>
      <c r="D56" s="590">
        <f t="shared" si="5"/>
        <v>13256.132371356369</v>
      </c>
      <c r="E56" s="590">
        <f t="shared" si="5"/>
        <v>13256.132371356369</v>
      </c>
      <c r="F56" s="591">
        <f t="shared" si="5"/>
        <v>13256.132371356369</v>
      </c>
      <c r="G56" s="592">
        <f>C56*Prix!C$73/Prix!C58</f>
        <v>16354.671686730062</v>
      </c>
      <c r="H56" s="590">
        <f>D56*Prix!D$73/Prix!D58</f>
        <v>16354.671686730062</v>
      </c>
      <c r="I56" s="590">
        <f>E56*Prix!E$73/Prix!E58</f>
        <v>16354.671686730062</v>
      </c>
      <c r="J56" s="591">
        <f>F56*Prix!F$73/Prix!F58</f>
        <v>16354.671686730062</v>
      </c>
      <c r="K56" s="593">
        <f t="shared" si="7"/>
        <v>3.6338054609830417E-2</v>
      </c>
      <c r="L56" s="594">
        <f t="shared" si="7"/>
        <v>3.6338054609830417E-2</v>
      </c>
      <c r="M56" s="594">
        <f t="shared" si="7"/>
        <v>3.6338054609830417E-2</v>
      </c>
      <c r="N56" s="595">
        <f t="shared" si="7"/>
        <v>3.6338054609830417E-2</v>
      </c>
      <c r="O56" s="596">
        <f t="shared" si="7"/>
        <v>1.9746435508934068E-2</v>
      </c>
      <c r="P56" s="594">
        <f t="shared" si="7"/>
        <v>1.9746435508934068E-2</v>
      </c>
      <c r="Q56" s="594">
        <f t="shared" si="7"/>
        <v>1.9746435508934068E-2</v>
      </c>
      <c r="R56" s="597">
        <f t="shared" si="6"/>
        <v>1.9746435508934068E-2</v>
      </c>
      <c r="S56" s="598"/>
    </row>
    <row r="57" spans="2:19" ht="15" customHeight="1" x14ac:dyDescent="0.25">
      <c r="B57" s="588">
        <v>2002</v>
      </c>
      <c r="C57" s="589">
        <v>13690.333479452052</v>
      </c>
      <c r="D57" s="590">
        <f t="shared" si="5"/>
        <v>13690.333479452052</v>
      </c>
      <c r="E57" s="590">
        <f t="shared" si="5"/>
        <v>13690.333479452052</v>
      </c>
      <c r="F57" s="591">
        <f t="shared" si="5"/>
        <v>13690.333479452052</v>
      </c>
      <c r="G57" s="592">
        <f>C57*Prix!C$73/Prix!C59</f>
        <v>16563.980772602739</v>
      </c>
      <c r="H57" s="590">
        <f>D57*Prix!D$73/Prix!D59</f>
        <v>16563.980772602739</v>
      </c>
      <c r="I57" s="590">
        <f>E57*Prix!E$73/Prix!E59</f>
        <v>16563.980772602739</v>
      </c>
      <c r="J57" s="591">
        <f>F57*Prix!F$73/Prix!F59</f>
        <v>16563.980772602739</v>
      </c>
      <c r="K57" s="593">
        <f t="shared" si="7"/>
        <v>3.2754735388272005E-2</v>
      </c>
      <c r="L57" s="594">
        <f t="shared" si="7"/>
        <v>3.2754735388272005E-2</v>
      </c>
      <c r="M57" s="594">
        <f t="shared" si="7"/>
        <v>3.2754735388272005E-2</v>
      </c>
      <c r="N57" s="595">
        <f t="shared" si="7"/>
        <v>3.2754735388272005E-2</v>
      </c>
      <c r="O57" s="596">
        <f t="shared" si="7"/>
        <v>1.2798122144054291E-2</v>
      </c>
      <c r="P57" s="594">
        <f t="shared" si="7"/>
        <v>1.2798122144054291E-2</v>
      </c>
      <c r="Q57" s="594">
        <f t="shared" si="7"/>
        <v>1.2798122144054291E-2</v>
      </c>
      <c r="R57" s="597">
        <f t="shared" si="6"/>
        <v>1.2798122144054291E-2</v>
      </c>
      <c r="S57" s="598"/>
    </row>
    <row r="58" spans="2:19" ht="15" customHeight="1" x14ac:dyDescent="0.25">
      <c r="B58" s="588">
        <v>2003</v>
      </c>
      <c r="C58" s="589">
        <v>14219.280328767123</v>
      </c>
      <c r="D58" s="590">
        <f t="shared" si="5"/>
        <v>14219.280328767123</v>
      </c>
      <c r="E58" s="590">
        <f t="shared" si="5"/>
        <v>14219.280328767123</v>
      </c>
      <c r="F58" s="591">
        <f t="shared" si="5"/>
        <v>14219.280328767123</v>
      </c>
      <c r="G58" s="592">
        <f>C58*Prix!C$73/Prix!C60</f>
        <v>16857.840276164385</v>
      </c>
      <c r="H58" s="590">
        <f>D58*Prix!D$73/Prix!D60</f>
        <v>16857.840276164385</v>
      </c>
      <c r="I58" s="590">
        <f>E58*Prix!E$73/Prix!E60</f>
        <v>16857.840276164385</v>
      </c>
      <c r="J58" s="591">
        <f>F58*Prix!F$73/Prix!F60</f>
        <v>16857.840276164385</v>
      </c>
      <c r="K58" s="593">
        <f t="shared" si="7"/>
        <v>3.8636520440423983E-2</v>
      </c>
      <c r="L58" s="594">
        <f t="shared" si="7"/>
        <v>3.8636520440423983E-2</v>
      </c>
      <c r="M58" s="594">
        <f t="shared" si="7"/>
        <v>3.8636520440423983E-2</v>
      </c>
      <c r="N58" s="595">
        <f t="shared" si="7"/>
        <v>3.8636520440423983E-2</v>
      </c>
      <c r="O58" s="596">
        <f t="shared" si="7"/>
        <v>1.7740874467066403E-2</v>
      </c>
      <c r="P58" s="594">
        <f t="shared" si="7"/>
        <v>1.7740874467066403E-2</v>
      </c>
      <c r="Q58" s="594">
        <f t="shared" si="7"/>
        <v>1.7740874467066403E-2</v>
      </c>
      <c r="R58" s="597">
        <f t="shared" si="6"/>
        <v>1.7740874467066403E-2</v>
      </c>
      <c r="S58" s="598"/>
    </row>
    <row r="59" spans="2:19" ht="15" customHeight="1" x14ac:dyDescent="0.25">
      <c r="B59" s="588">
        <v>2004</v>
      </c>
      <c r="C59" s="589">
        <v>14496.380983606559</v>
      </c>
      <c r="D59" s="590">
        <f t="shared" si="5"/>
        <v>14496.380983606559</v>
      </c>
      <c r="E59" s="590">
        <f t="shared" si="5"/>
        <v>14496.380983606559</v>
      </c>
      <c r="F59" s="591">
        <f t="shared" si="5"/>
        <v>14496.380983606559</v>
      </c>
      <c r="G59" s="592">
        <f>C59*Prix!C$73/Prix!C61</f>
        <v>16827.896256520336</v>
      </c>
      <c r="H59" s="590">
        <f>D59*Prix!D$73/Prix!D61</f>
        <v>16827.896256520336</v>
      </c>
      <c r="I59" s="590">
        <f>E59*Prix!E$73/Prix!E61</f>
        <v>16827.896256520336</v>
      </c>
      <c r="J59" s="591">
        <f>F59*Prix!F$73/Prix!F61</f>
        <v>16827.896256520336</v>
      </c>
      <c r="K59" s="593">
        <f t="shared" si="7"/>
        <v>1.9487670854820394E-2</v>
      </c>
      <c r="L59" s="594">
        <f t="shared" si="7"/>
        <v>1.9487670854820394E-2</v>
      </c>
      <c r="M59" s="594">
        <f t="shared" si="7"/>
        <v>1.9487670854820394E-2</v>
      </c>
      <c r="N59" s="595">
        <f t="shared" si="7"/>
        <v>1.9487670854820394E-2</v>
      </c>
      <c r="O59" s="596">
        <f t="shared" si="7"/>
        <v>-1.7762666601122135E-3</v>
      </c>
      <c r="P59" s="594">
        <f t="shared" si="7"/>
        <v>-1.7762666601122135E-3</v>
      </c>
      <c r="Q59" s="594">
        <f t="shared" si="7"/>
        <v>-1.7762666601122135E-3</v>
      </c>
      <c r="R59" s="597">
        <f t="shared" si="6"/>
        <v>-1.7762666601122135E-3</v>
      </c>
      <c r="S59" s="598"/>
    </row>
    <row r="60" spans="2:19" ht="15" customHeight="1" x14ac:dyDescent="0.25">
      <c r="B60" s="588">
        <v>2005</v>
      </c>
      <c r="C60" s="589">
        <v>14777.847707762561</v>
      </c>
      <c r="D60" s="590">
        <f t="shared" si="5"/>
        <v>14777.847707762561</v>
      </c>
      <c r="E60" s="590">
        <f t="shared" si="5"/>
        <v>14777.847707762561</v>
      </c>
      <c r="F60" s="591">
        <f t="shared" si="5"/>
        <v>14777.847707762561</v>
      </c>
      <c r="G60" s="592">
        <f>C60*Prix!C$73/Prix!C62</f>
        <v>16842.375237356693</v>
      </c>
      <c r="H60" s="590">
        <f>D60*Prix!D$73/Prix!D62</f>
        <v>16842.375237356693</v>
      </c>
      <c r="I60" s="590">
        <f>E60*Prix!E$73/Prix!E62</f>
        <v>16842.375237356693</v>
      </c>
      <c r="J60" s="591">
        <f>F60*Prix!F$73/Prix!F62</f>
        <v>16842.375237356693</v>
      </c>
      <c r="K60" s="593">
        <f t="shared" si="7"/>
        <v>1.9416344291330434E-2</v>
      </c>
      <c r="L60" s="594">
        <f t="shared" si="7"/>
        <v>1.9416344291330434E-2</v>
      </c>
      <c r="M60" s="594">
        <f t="shared" si="7"/>
        <v>1.9416344291330434E-2</v>
      </c>
      <c r="N60" s="595">
        <f t="shared" si="7"/>
        <v>1.9416344291330434E-2</v>
      </c>
      <c r="O60" s="596">
        <f t="shared" si="7"/>
        <v>8.6041538500380987E-4</v>
      </c>
      <c r="P60" s="594">
        <f t="shared" si="7"/>
        <v>8.6041538500380987E-4</v>
      </c>
      <c r="Q60" s="594">
        <f t="shared" si="7"/>
        <v>8.6041538500380987E-4</v>
      </c>
      <c r="R60" s="597">
        <f t="shared" si="6"/>
        <v>8.6041538500380987E-4</v>
      </c>
      <c r="S60" s="598"/>
    </row>
    <row r="61" spans="2:19" ht="15" customHeight="1" x14ac:dyDescent="0.25">
      <c r="B61" s="588">
        <v>2006</v>
      </c>
      <c r="C61" s="589">
        <v>14834.795068493149</v>
      </c>
      <c r="D61" s="590">
        <f t="shared" si="5"/>
        <v>14834.795068493149</v>
      </c>
      <c r="E61" s="590">
        <f t="shared" si="5"/>
        <v>14834.795068493149</v>
      </c>
      <c r="F61" s="591">
        <f t="shared" si="5"/>
        <v>14834.795068493149</v>
      </c>
      <c r="G61" s="592">
        <f>C61*Prix!C$73/Prix!C63</f>
        <v>16636.625657244418</v>
      </c>
      <c r="H61" s="590">
        <f>D61*Prix!D$73/Prix!D63</f>
        <v>16636.625657244418</v>
      </c>
      <c r="I61" s="590">
        <f>E61*Prix!E$73/Prix!E63</f>
        <v>16636.625657244418</v>
      </c>
      <c r="J61" s="591">
        <f>F61*Prix!F$73/Prix!F63</f>
        <v>16636.625657244418</v>
      </c>
      <c r="K61" s="593">
        <f t="shared" si="7"/>
        <v>3.8535625658582262E-3</v>
      </c>
      <c r="L61" s="594">
        <f t="shared" si="7"/>
        <v>3.8535625658582262E-3</v>
      </c>
      <c r="M61" s="594">
        <f t="shared" si="7"/>
        <v>3.8535625658582262E-3</v>
      </c>
      <c r="N61" s="595">
        <f t="shared" si="7"/>
        <v>3.8535625658582262E-3</v>
      </c>
      <c r="O61" s="596">
        <f t="shared" si="7"/>
        <v>-1.2216185497157084E-2</v>
      </c>
      <c r="P61" s="594">
        <f t="shared" si="7"/>
        <v>-1.2216185497157084E-2</v>
      </c>
      <c r="Q61" s="594">
        <f t="shared" si="7"/>
        <v>-1.2216185497157084E-2</v>
      </c>
      <c r="R61" s="597">
        <f t="shared" si="6"/>
        <v>-1.2216185497157084E-2</v>
      </c>
      <c r="S61" s="598"/>
    </row>
    <row r="62" spans="2:19" ht="15" customHeight="1" x14ac:dyDescent="0.25">
      <c r="B62" s="588">
        <v>2007</v>
      </c>
      <c r="C62" s="589">
        <v>15207.371506849315</v>
      </c>
      <c r="D62" s="590">
        <f t="shared" si="5"/>
        <v>15207.371506849315</v>
      </c>
      <c r="E62" s="590">
        <f t="shared" si="5"/>
        <v>15207.371506849315</v>
      </c>
      <c r="F62" s="591">
        <f t="shared" si="5"/>
        <v>15207.371506849315</v>
      </c>
      <c r="G62" s="592">
        <f>C62*Prix!C$73/Prix!C64</f>
        <v>16804.26293355575</v>
      </c>
      <c r="H62" s="590">
        <f>D62*Prix!D$73/Prix!D64</f>
        <v>16804.26293355575</v>
      </c>
      <c r="I62" s="590">
        <f>E62*Prix!E$73/Prix!E64</f>
        <v>16804.26293355575</v>
      </c>
      <c r="J62" s="591">
        <f>F62*Prix!F$73/Prix!F64</f>
        <v>16804.26293355575</v>
      </c>
      <c r="K62" s="593">
        <f t="shared" si="7"/>
        <v>2.5115037763309589E-2</v>
      </c>
      <c r="L62" s="594">
        <f t="shared" si="7"/>
        <v>2.5115037763309589E-2</v>
      </c>
      <c r="M62" s="594">
        <f t="shared" si="7"/>
        <v>2.5115037763309589E-2</v>
      </c>
      <c r="N62" s="595">
        <f t="shared" si="7"/>
        <v>2.5115037763309589E-2</v>
      </c>
      <c r="O62" s="596">
        <f t="shared" si="7"/>
        <v>1.0076398890320304E-2</v>
      </c>
      <c r="P62" s="594">
        <f t="shared" si="7"/>
        <v>1.0076398890320304E-2</v>
      </c>
      <c r="Q62" s="594">
        <f t="shared" si="7"/>
        <v>1.0076398890320304E-2</v>
      </c>
      <c r="R62" s="597">
        <f t="shared" si="6"/>
        <v>1.0076398890320304E-2</v>
      </c>
      <c r="S62" s="598"/>
    </row>
    <row r="63" spans="2:19" ht="15" customHeight="1" x14ac:dyDescent="0.25">
      <c r="B63" s="588">
        <v>2008</v>
      </c>
      <c r="C63" s="589">
        <v>15665.475956284154</v>
      </c>
      <c r="D63" s="590">
        <f t="shared" si="5"/>
        <v>15665.475956284154</v>
      </c>
      <c r="E63" s="590">
        <f t="shared" si="5"/>
        <v>15665.475956284154</v>
      </c>
      <c r="F63" s="591">
        <f t="shared" si="5"/>
        <v>15665.475956284154</v>
      </c>
      <c r="G63" s="592">
        <f>C63*Prix!C$73/Prix!C65</f>
        <v>16836.899273688945</v>
      </c>
      <c r="H63" s="590">
        <f>D63*Prix!D$73/Prix!D65</f>
        <v>16836.899273688945</v>
      </c>
      <c r="I63" s="590">
        <f>E63*Prix!E$73/Prix!E65</f>
        <v>16836.899273688945</v>
      </c>
      <c r="J63" s="591">
        <f>F63*Prix!F$73/Prix!F65</f>
        <v>16836.899273688945</v>
      </c>
      <c r="K63" s="593">
        <f t="shared" si="7"/>
        <v>3.0123841534910323E-2</v>
      </c>
      <c r="L63" s="594">
        <f t="shared" si="7"/>
        <v>3.0123841534910323E-2</v>
      </c>
      <c r="M63" s="594">
        <f t="shared" si="7"/>
        <v>3.0123841534910323E-2</v>
      </c>
      <c r="N63" s="595">
        <f t="shared" si="7"/>
        <v>3.0123841534910323E-2</v>
      </c>
      <c r="O63" s="596">
        <f t="shared" si="7"/>
        <v>1.9421464816540279E-3</v>
      </c>
      <c r="P63" s="594">
        <f t="shared" si="7"/>
        <v>1.9421464816540279E-3</v>
      </c>
      <c r="Q63" s="594">
        <f t="shared" si="7"/>
        <v>1.9421464816540279E-3</v>
      </c>
      <c r="R63" s="597">
        <f t="shared" si="6"/>
        <v>1.9421464816540279E-3</v>
      </c>
      <c r="S63" s="598"/>
    </row>
    <row r="64" spans="2:19" ht="15" customHeight="1" x14ac:dyDescent="0.25">
      <c r="B64" s="588">
        <v>2009</v>
      </c>
      <c r="C64" s="589">
        <v>15953.122739726026</v>
      </c>
      <c r="D64" s="590">
        <f t="shared" si="5"/>
        <v>15953.122739726026</v>
      </c>
      <c r="E64" s="590">
        <f t="shared" si="5"/>
        <v>15953.122739726026</v>
      </c>
      <c r="F64" s="591">
        <f t="shared" si="5"/>
        <v>15953.122739726026</v>
      </c>
      <c r="G64" s="592">
        <f>C64*Prix!C$73/Prix!C66</f>
        <v>17131.352085601386</v>
      </c>
      <c r="H64" s="590">
        <f>D64*Prix!D$73/Prix!D66</f>
        <v>17131.352085601386</v>
      </c>
      <c r="I64" s="590">
        <f>E64*Prix!E$73/Prix!E66</f>
        <v>17131.352085601386</v>
      </c>
      <c r="J64" s="591">
        <f>F64*Prix!F$73/Prix!F66</f>
        <v>17131.352085601386</v>
      </c>
      <c r="K64" s="593">
        <f t="shared" si="7"/>
        <v>1.8361828535856439E-2</v>
      </c>
      <c r="L64" s="594">
        <f t="shared" si="7"/>
        <v>1.8361828535856439E-2</v>
      </c>
      <c r="M64" s="594">
        <f t="shared" si="7"/>
        <v>1.8361828535856439E-2</v>
      </c>
      <c r="N64" s="595">
        <f t="shared" si="7"/>
        <v>1.8361828535856439E-2</v>
      </c>
      <c r="O64" s="596">
        <f t="shared" si="7"/>
        <v>1.7488541513851263E-2</v>
      </c>
      <c r="P64" s="594">
        <f t="shared" si="7"/>
        <v>1.7488541513851263E-2</v>
      </c>
      <c r="Q64" s="594">
        <f t="shared" si="7"/>
        <v>1.7488541513851263E-2</v>
      </c>
      <c r="R64" s="597">
        <f t="shared" si="6"/>
        <v>1.7488541513851263E-2</v>
      </c>
      <c r="S64" s="598"/>
    </row>
    <row r="65" spans="2:19" ht="15" customHeight="1" x14ac:dyDescent="0.25">
      <c r="B65" s="588">
        <v>2010</v>
      </c>
      <c r="C65" s="589">
        <v>16125.199999999997</v>
      </c>
      <c r="D65" s="590">
        <f t="shared" si="5"/>
        <v>16125.199999999997</v>
      </c>
      <c r="E65" s="590">
        <f t="shared" si="5"/>
        <v>16125.199999999997</v>
      </c>
      <c r="F65" s="591">
        <f t="shared" si="5"/>
        <v>16125.199999999997</v>
      </c>
      <c r="G65" s="592">
        <f>C65*Prix!C$73/Prix!C67</f>
        <v>17056.515003695487</v>
      </c>
      <c r="H65" s="590">
        <f>D65*Prix!D$73/Prix!D67</f>
        <v>17056.515003695487</v>
      </c>
      <c r="I65" s="590">
        <f>E65*Prix!E$73/Prix!E67</f>
        <v>17056.515003695487</v>
      </c>
      <c r="J65" s="591">
        <f>F65*Prix!F$73/Prix!F67</f>
        <v>17056.515003695487</v>
      </c>
      <c r="K65" s="593">
        <f t="shared" si="7"/>
        <v>1.0786431163440469E-2</v>
      </c>
      <c r="L65" s="594">
        <f t="shared" si="7"/>
        <v>1.0786431163440469E-2</v>
      </c>
      <c r="M65" s="594">
        <f t="shared" si="7"/>
        <v>1.0786431163440469E-2</v>
      </c>
      <c r="N65" s="595">
        <f t="shared" si="7"/>
        <v>1.0786431163440469E-2</v>
      </c>
      <c r="O65" s="596">
        <f t="shared" si="7"/>
        <v>-4.368428220490439E-3</v>
      </c>
      <c r="P65" s="594">
        <f t="shared" si="7"/>
        <v>-4.368428220490439E-3</v>
      </c>
      <c r="Q65" s="594">
        <f t="shared" si="7"/>
        <v>-4.368428220490439E-3</v>
      </c>
      <c r="R65" s="597">
        <f t="shared" si="6"/>
        <v>-4.368428220490439E-3</v>
      </c>
      <c r="S65" s="598"/>
    </row>
    <row r="66" spans="2:19" ht="15" customHeight="1" x14ac:dyDescent="0.25">
      <c r="B66" s="588">
        <v>2011</v>
      </c>
      <c r="C66" s="589">
        <v>16409.369315068492</v>
      </c>
      <c r="D66" s="590">
        <f t="shared" si="5"/>
        <v>16409.369315068492</v>
      </c>
      <c r="E66" s="590">
        <f t="shared" si="5"/>
        <v>16409.369315068492</v>
      </c>
      <c r="F66" s="591">
        <f t="shared" si="5"/>
        <v>16409.369315068492</v>
      </c>
      <c r="G66" s="592">
        <f>C66*Prix!C$73/Prix!C68</f>
        <v>16998.145155449918</v>
      </c>
      <c r="H66" s="590">
        <f>D66*Prix!D$73/Prix!D68</f>
        <v>16998.145155449918</v>
      </c>
      <c r="I66" s="590">
        <f>E66*Prix!E$73/Prix!E68</f>
        <v>16998.145155449918</v>
      </c>
      <c r="J66" s="591">
        <f>F66*Prix!F$73/Prix!F68</f>
        <v>16998.145155449918</v>
      </c>
      <c r="K66" s="593">
        <f t="shared" si="7"/>
        <v>1.7622684684127643E-2</v>
      </c>
      <c r="L66" s="594">
        <f t="shared" si="7"/>
        <v>1.7622684684127643E-2</v>
      </c>
      <c r="M66" s="594">
        <f t="shared" si="7"/>
        <v>1.7622684684127643E-2</v>
      </c>
      <c r="N66" s="595">
        <f t="shared" si="7"/>
        <v>1.7622684684127643E-2</v>
      </c>
      <c r="O66" s="596">
        <f t="shared" si="7"/>
        <v>-3.4221438689511219E-3</v>
      </c>
      <c r="P66" s="594">
        <f t="shared" si="7"/>
        <v>-3.4221438689511219E-3</v>
      </c>
      <c r="Q66" s="594">
        <f t="shared" si="7"/>
        <v>-3.4221438689511219E-3</v>
      </c>
      <c r="R66" s="597">
        <f t="shared" si="6"/>
        <v>-3.4221438689511219E-3</v>
      </c>
      <c r="S66" s="598"/>
    </row>
    <row r="67" spans="2:19" ht="15" customHeight="1" x14ac:dyDescent="0.25">
      <c r="B67" s="588">
        <v>2012</v>
      </c>
      <c r="C67" s="589">
        <v>16945.095081967211</v>
      </c>
      <c r="D67" s="590">
        <f t="shared" si="5"/>
        <v>16945.095081967211</v>
      </c>
      <c r="E67" s="590">
        <f t="shared" si="5"/>
        <v>16945.095081967211</v>
      </c>
      <c r="F67" s="591">
        <f t="shared" si="5"/>
        <v>16945.095081967211</v>
      </c>
      <c r="G67" s="592">
        <f>C67*Prix!C$73/Prix!C69</f>
        <v>17216.62905995411</v>
      </c>
      <c r="H67" s="590">
        <f>D67*Prix!D$73/Prix!D69</f>
        <v>17216.62905995411</v>
      </c>
      <c r="I67" s="590">
        <f>E67*Prix!E$73/Prix!E69</f>
        <v>17216.62905995411</v>
      </c>
      <c r="J67" s="591">
        <f>F67*Prix!F$73/Prix!F69</f>
        <v>17216.62905995411</v>
      </c>
      <c r="K67" s="593">
        <f t="shared" si="7"/>
        <v>3.264755376105577E-2</v>
      </c>
      <c r="L67" s="594">
        <f t="shared" si="7"/>
        <v>3.264755376105577E-2</v>
      </c>
      <c r="M67" s="594">
        <f t="shared" si="7"/>
        <v>3.264755376105577E-2</v>
      </c>
      <c r="N67" s="595">
        <f t="shared" si="7"/>
        <v>3.264755376105577E-2</v>
      </c>
      <c r="O67" s="596">
        <f t="shared" si="7"/>
        <v>1.2853396797481764E-2</v>
      </c>
      <c r="P67" s="594">
        <f t="shared" si="7"/>
        <v>1.2853396797481764E-2</v>
      </c>
      <c r="Q67" s="594">
        <f t="shared" si="7"/>
        <v>1.2853396797481764E-2</v>
      </c>
      <c r="R67" s="597">
        <f t="shared" si="6"/>
        <v>1.2853396797481764E-2</v>
      </c>
      <c r="S67" s="598"/>
    </row>
    <row r="68" spans="2:19" ht="15" customHeight="1" x14ac:dyDescent="0.25">
      <c r="B68" s="588">
        <v>2013</v>
      </c>
      <c r="C68" s="589">
        <v>17162.599999999999</v>
      </c>
      <c r="D68" s="590">
        <f t="shared" si="5"/>
        <v>17162.599999999999</v>
      </c>
      <c r="E68" s="590">
        <f t="shared" si="5"/>
        <v>17162.599999999999</v>
      </c>
      <c r="F68" s="591">
        <f t="shared" si="5"/>
        <v>17162.599999999999</v>
      </c>
      <c r="G68" s="592">
        <f>C68*Prix!C$73/Prix!C70</f>
        <v>17286.84162477378</v>
      </c>
      <c r="H68" s="590">
        <f>D68*Prix!D$73/Prix!D70</f>
        <v>17286.84162477378</v>
      </c>
      <c r="I68" s="590">
        <f>E68*Prix!E$73/Prix!E70</f>
        <v>17286.84162477378</v>
      </c>
      <c r="J68" s="591">
        <f>F68*Prix!F$73/Prix!F70</f>
        <v>17286.84162477378</v>
      </c>
      <c r="K68" s="593">
        <f t="shared" si="7"/>
        <v>1.2835862943268772E-2</v>
      </c>
      <c r="L68" s="594">
        <f t="shared" si="7"/>
        <v>1.2835862943268772E-2</v>
      </c>
      <c r="M68" s="594">
        <f t="shared" si="7"/>
        <v>1.2835862943268772E-2</v>
      </c>
      <c r="N68" s="595">
        <f t="shared" si="7"/>
        <v>1.2835862943268772E-2</v>
      </c>
      <c r="O68" s="596">
        <f t="shared" si="7"/>
        <v>4.0781830505360883E-3</v>
      </c>
      <c r="P68" s="594">
        <f t="shared" si="7"/>
        <v>4.0781830505360883E-3</v>
      </c>
      <c r="Q68" s="594">
        <f t="shared" si="7"/>
        <v>4.0781830505360883E-3</v>
      </c>
      <c r="R68" s="597">
        <f t="shared" si="6"/>
        <v>4.0781830505360883E-3</v>
      </c>
      <c r="S68" s="598"/>
    </row>
    <row r="69" spans="2:19" ht="15" customHeight="1" x14ac:dyDescent="0.25">
      <c r="B69" s="588">
        <v>2014</v>
      </c>
      <c r="C69" s="589">
        <v>17344.599999999999</v>
      </c>
      <c r="D69" s="590">
        <f t="shared" si="5"/>
        <v>17344.599999999999</v>
      </c>
      <c r="E69" s="590">
        <f t="shared" si="5"/>
        <v>17344.599999999999</v>
      </c>
      <c r="F69" s="591">
        <f t="shared" si="5"/>
        <v>17344.599999999999</v>
      </c>
      <c r="G69" s="592">
        <f>C69*Prix!C$73/Prix!C71</f>
        <v>17382.773389355745</v>
      </c>
      <c r="H69" s="590">
        <f>D69*Prix!D$73/Prix!D71</f>
        <v>17382.773389355745</v>
      </c>
      <c r="I69" s="590">
        <f>E69*Prix!E$73/Prix!E71</f>
        <v>17382.773389355745</v>
      </c>
      <c r="J69" s="591">
        <f>F69*Prix!F$73/Prix!F71</f>
        <v>17382.773389355745</v>
      </c>
      <c r="K69" s="593">
        <f t="shared" si="7"/>
        <v>1.0604453870625585E-2</v>
      </c>
      <c r="L69" s="594">
        <f t="shared" si="7"/>
        <v>1.0604453870625585E-2</v>
      </c>
      <c r="M69" s="594">
        <f t="shared" si="7"/>
        <v>1.0604453870625585E-2</v>
      </c>
      <c r="N69" s="595">
        <f t="shared" si="7"/>
        <v>1.0604453870625585E-2</v>
      </c>
      <c r="O69" s="596">
        <f t="shared" si="7"/>
        <v>5.5494095835577628E-3</v>
      </c>
      <c r="P69" s="594">
        <f t="shared" si="7"/>
        <v>5.5494095835577628E-3</v>
      </c>
      <c r="Q69" s="594">
        <f t="shared" si="7"/>
        <v>5.5494095835577628E-3</v>
      </c>
      <c r="R69" s="597">
        <f t="shared" si="6"/>
        <v>5.5494095835577628E-3</v>
      </c>
      <c r="S69" s="598"/>
    </row>
    <row r="70" spans="2:19" ht="15" customHeight="1" x14ac:dyDescent="0.25">
      <c r="B70" s="588">
        <v>2015</v>
      </c>
      <c r="C70" s="589">
        <v>17490.199999999997</v>
      </c>
      <c r="D70" s="590">
        <f t="shared" ref="D70:F73" si="8">C70</f>
        <v>17490.199999999997</v>
      </c>
      <c r="E70" s="590">
        <f t="shared" si="8"/>
        <v>17490.199999999997</v>
      </c>
      <c r="F70" s="591">
        <f t="shared" si="8"/>
        <v>17490.199999999997</v>
      </c>
      <c r="G70" s="592">
        <f>C70*Prix!C$73/Prix!C72</f>
        <v>17521.682359999999</v>
      </c>
      <c r="H70" s="590">
        <f>D70*Prix!D$73/Prix!D72</f>
        <v>17521.682359999999</v>
      </c>
      <c r="I70" s="590">
        <f>E70*Prix!E$73/Prix!E72</f>
        <v>17521.682359999999</v>
      </c>
      <c r="J70" s="591">
        <f>F70*Prix!F$73/Prix!F72</f>
        <v>17521.682359999999</v>
      </c>
      <c r="K70" s="593">
        <f t="shared" si="7"/>
        <v>8.394543546694555E-3</v>
      </c>
      <c r="L70" s="594">
        <f t="shared" si="7"/>
        <v>8.394543546694555E-3</v>
      </c>
      <c r="M70" s="594">
        <f t="shared" si="7"/>
        <v>8.394543546694555E-3</v>
      </c>
      <c r="N70" s="595">
        <f t="shared" si="7"/>
        <v>8.394543546694555E-3</v>
      </c>
      <c r="O70" s="596">
        <f t="shared" si="7"/>
        <v>7.9911857292758182E-3</v>
      </c>
      <c r="P70" s="594">
        <f t="shared" si="7"/>
        <v>7.9911857292758182E-3</v>
      </c>
      <c r="Q70" s="594">
        <f t="shared" si="7"/>
        <v>7.9911857292758182E-3</v>
      </c>
      <c r="R70" s="597">
        <f t="shared" si="6"/>
        <v>7.9911857292758182E-3</v>
      </c>
      <c r="S70" s="598"/>
    </row>
    <row r="71" spans="2:19" ht="15" customHeight="1" x14ac:dyDescent="0.25">
      <c r="B71" s="588">
        <v>2016</v>
      </c>
      <c r="C71" s="589">
        <v>17599.399999999998</v>
      </c>
      <c r="D71" s="590">
        <f t="shared" si="8"/>
        <v>17599.399999999998</v>
      </c>
      <c r="E71" s="590">
        <f t="shared" si="8"/>
        <v>17599.399999999998</v>
      </c>
      <c r="F71" s="591">
        <f t="shared" si="8"/>
        <v>17599.399999999998</v>
      </c>
      <c r="G71" s="592">
        <f>C71*Prix!C$73/Prix!C73</f>
        <v>17599.399999999998</v>
      </c>
      <c r="H71" s="590">
        <f>D71*Prix!D$73/Prix!D73</f>
        <v>17599.399999999998</v>
      </c>
      <c r="I71" s="590">
        <f>E71*Prix!E$73/Prix!E73</f>
        <v>17599.399999999998</v>
      </c>
      <c r="J71" s="591">
        <f>F71*Prix!F$73/Prix!F73</f>
        <v>17599.399999999998</v>
      </c>
      <c r="K71" s="593">
        <f t="shared" si="7"/>
        <v>6.2434963579605096E-3</v>
      </c>
      <c r="L71" s="594">
        <f t="shared" si="7"/>
        <v>6.2434963579605096E-3</v>
      </c>
      <c r="M71" s="594">
        <f t="shared" si="7"/>
        <v>6.2434963579605096E-3</v>
      </c>
      <c r="N71" s="595">
        <f t="shared" si="7"/>
        <v>6.2434963579605096E-3</v>
      </c>
      <c r="O71" s="596">
        <f t="shared" si="7"/>
        <v>4.4355124355763831E-3</v>
      </c>
      <c r="P71" s="594">
        <f t="shared" si="7"/>
        <v>4.4355124355763831E-3</v>
      </c>
      <c r="Q71" s="594">
        <f t="shared" si="7"/>
        <v>4.4355124355763831E-3</v>
      </c>
      <c r="R71" s="597">
        <f t="shared" si="6"/>
        <v>4.4355124355763831E-3</v>
      </c>
      <c r="S71" s="599"/>
    </row>
    <row r="72" spans="2:19" ht="15" customHeight="1" x14ac:dyDescent="0.25">
      <c r="B72" s="588">
        <v>2017</v>
      </c>
      <c r="C72" s="589">
        <v>17763.2</v>
      </c>
      <c r="D72" s="590">
        <f t="shared" si="8"/>
        <v>17763.2</v>
      </c>
      <c r="E72" s="590">
        <f t="shared" si="8"/>
        <v>17763.2</v>
      </c>
      <c r="F72" s="591">
        <f t="shared" si="8"/>
        <v>17763.2</v>
      </c>
      <c r="G72" s="592">
        <f>C72*Prix!C$73/Prix!C74</f>
        <v>17580.689349930846</v>
      </c>
      <c r="H72" s="590">
        <f>D72*Prix!D$73/Prix!D74</f>
        <v>17580.689349930846</v>
      </c>
      <c r="I72" s="590">
        <f>E72*Prix!E$73/Prix!E74</f>
        <v>17580.689349930846</v>
      </c>
      <c r="J72" s="591">
        <f>F72*Prix!F$73/Prix!F74</f>
        <v>17580.689349930846</v>
      </c>
      <c r="K72" s="593">
        <f t="shared" si="7"/>
        <v>9.3071354705276388E-3</v>
      </c>
      <c r="L72" s="594">
        <f t="shared" si="7"/>
        <v>9.3071354705276388E-3</v>
      </c>
      <c r="M72" s="594">
        <f t="shared" si="7"/>
        <v>9.3071354705276388E-3</v>
      </c>
      <c r="N72" s="595">
        <f t="shared" si="7"/>
        <v>9.3071354705276388E-3</v>
      </c>
      <c r="O72" s="596">
        <f t="shared" si="7"/>
        <v>-1.063141361020925E-3</v>
      </c>
      <c r="P72" s="594">
        <f t="shared" si="7"/>
        <v>-1.063141361020925E-3</v>
      </c>
      <c r="Q72" s="594">
        <f t="shared" si="7"/>
        <v>-1.063141361020925E-3</v>
      </c>
      <c r="R72" s="597">
        <f t="shared" si="6"/>
        <v>-1.063141361020925E-3</v>
      </c>
      <c r="S72" s="599"/>
    </row>
    <row r="73" spans="2:19" ht="15" customHeight="1" x14ac:dyDescent="0.25">
      <c r="B73" s="588">
        <v>2018</v>
      </c>
      <c r="C73" s="589">
        <v>17981.599999999999</v>
      </c>
      <c r="D73" s="590">
        <f t="shared" si="8"/>
        <v>17981.599999999999</v>
      </c>
      <c r="E73" s="590">
        <f t="shared" si="8"/>
        <v>17981.599999999999</v>
      </c>
      <c r="F73" s="591">
        <f t="shared" si="8"/>
        <v>17981.599999999999</v>
      </c>
      <c r="G73" s="592">
        <f>C73*Prix!C$73/Prix!C75</f>
        <v>17474.019672131148</v>
      </c>
      <c r="H73" s="590">
        <f>D73*Prix!D$73/Prix!D75</f>
        <v>17474.019672131148</v>
      </c>
      <c r="I73" s="590">
        <f>E73*Prix!E$73/Prix!E75</f>
        <v>17474.019672131148</v>
      </c>
      <c r="J73" s="591">
        <f>F73*Prix!F$73/Prix!F75</f>
        <v>17474.019672131148</v>
      </c>
      <c r="K73" s="593">
        <f t="shared" si="7"/>
        <v>1.2295081967212962E-2</v>
      </c>
      <c r="L73" s="594">
        <f t="shared" si="7"/>
        <v>1.2295081967212962E-2</v>
      </c>
      <c r="M73" s="594">
        <f t="shared" si="7"/>
        <v>1.2295081967212962E-2</v>
      </c>
      <c r="N73" s="595">
        <f t="shared" si="7"/>
        <v>1.2295081967212962E-2</v>
      </c>
      <c r="O73" s="596">
        <f t="shared" si="7"/>
        <v>-6.0674343125298735E-3</v>
      </c>
      <c r="P73" s="594">
        <f t="shared" si="7"/>
        <v>-6.0674343125298735E-3</v>
      </c>
      <c r="Q73" s="594">
        <f t="shared" si="7"/>
        <v>-6.0674343125298735E-3</v>
      </c>
      <c r="R73" s="597">
        <f t="shared" si="6"/>
        <v>-6.0674343125298735E-3</v>
      </c>
      <c r="S73" s="599"/>
    </row>
    <row r="74" spans="2:19" ht="15" customHeight="1" x14ac:dyDescent="0.25">
      <c r="B74" s="600">
        <v>2019</v>
      </c>
      <c r="C74" s="589">
        <v>18254.599999999999</v>
      </c>
      <c r="D74" s="601">
        <f>C74</f>
        <v>18254.599999999999</v>
      </c>
      <c r="E74" s="601">
        <f>D74</f>
        <v>18254.599999999999</v>
      </c>
      <c r="F74" s="602">
        <f>E74</f>
        <v>18254.599999999999</v>
      </c>
      <c r="G74" s="603">
        <f>C74*Prix!C$73/Prix!C76</f>
        <v>17545.292411014103</v>
      </c>
      <c r="H74" s="601">
        <f>D74*Prix!D$73/Prix!D76</f>
        <v>17545.292411014103</v>
      </c>
      <c r="I74" s="601">
        <f>E74*Prix!E$73/Prix!E76</f>
        <v>17545.292411014103</v>
      </c>
      <c r="J74" s="602">
        <f>F74*Prix!F$73/Prix!F76</f>
        <v>17545.292411014103</v>
      </c>
      <c r="K74" s="593">
        <f t="shared" si="7"/>
        <v>1.5182186234817818E-2</v>
      </c>
      <c r="L74" s="594">
        <f t="shared" si="7"/>
        <v>1.5182186234817818E-2</v>
      </c>
      <c r="M74" s="594">
        <f t="shared" si="7"/>
        <v>1.5182186234817818E-2</v>
      </c>
      <c r="N74" s="595">
        <f t="shared" si="7"/>
        <v>1.5182186234817818E-2</v>
      </c>
      <c r="O74" s="596">
        <v>4.078783257673857E-3</v>
      </c>
      <c r="P74" s="594">
        <v>4.078783257673857E-3</v>
      </c>
      <c r="Q74" s="594">
        <v>4.078783257673857E-3</v>
      </c>
      <c r="R74" s="597">
        <v>4.078783257673857E-3</v>
      </c>
      <c r="S74" s="599"/>
    </row>
    <row r="75" spans="2:19" ht="15" customHeight="1" x14ac:dyDescent="0.2">
      <c r="B75" s="600">
        <v>2020</v>
      </c>
      <c r="C75" s="604">
        <v>18473</v>
      </c>
      <c r="D75" s="601">
        <f>H75*Prix!D77/Prix!D$73</f>
        <v>18473.655200000001</v>
      </c>
      <c r="E75" s="601">
        <f>I75*Prix!E77/Prix!E$73</f>
        <v>18473.655200000001</v>
      </c>
      <c r="F75" s="602">
        <f>J75*Prix!F77/Prix!F$73</f>
        <v>18473.655200000001</v>
      </c>
      <c r="G75" s="603">
        <f t="shared" ref="G75:J90" si="9">G74*(1+O75)</f>
        <v>17671.066341411246</v>
      </c>
      <c r="H75" s="601">
        <f t="shared" si="9"/>
        <v>17671.066341411246</v>
      </c>
      <c r="I75" s="601">
        <f t="shared" si="9"/>
        <v>17671.066341411246</v>
      </c>
      <c r="J75" s="602">
        <f t="shared" si="9"/>
        <v>17671.066341411246</v>
      </c>
      <c r="K75" s="593">
        <f t="shared" si="7"/>
        <v>1.1964107676969205E-2</v>
      </c>
      <c r="L75" s="594">
        <f t="shared" si="7"/>
        <v>1.2000000000000233E-2</v>
      </c>
      <c r="M75" s="594">
        <f t="shared" si="7"/>
        <v>1.2000000000000233E-2</v>
      </c>
      <c r="N75" s="595">
        <f t="shared" si="7"/>
        <v>1.2000000000000233E-2</v>
      </c>
      <c r="O75" s="596">
        <v>7.1685285973455137E-3</v>
      </c>
      <c r="P75" s="594">
        <v>7.1685285973455137E-3</v>
      </c>
      <c r="Q75" s="594">
        <v>7.1685285973455137E-3</v>
      </c>
      <c r="R75" s="597">
        <v>7.1685285973455137E-3</v>
      </c>
      <c r="S75" s="599"/>
    </row>
    <row r="76" spans="2:19" ht="15" customHeight="1" x14ac:dyDescent="0.2">
      <c r="B76" s="600">
        <v>2021</v>
      </c>
      <c r="C76" s="604">
        <v>18655</v>
      </c>
      <c r="D76" s="601">
        <f>H76*Prix!D78/Prix!D$73</f>
        <v>18658.391752</v>
      </c>
      <c r="E76" s="601">
        <f>I76*Prix!E78/Prix!E$73</f>
        <v>18658.391752</v>
      </c>
      <c r="F76" s="602">
        <f>J76*Prix!F78/Prix!F$73</f>
        <v>18658.391752</v>
      </c>
      <c r="G76" s="603">
        <f t="shared" si="9"/>
        <v>17653.587541864847</v>
      </c>
      <c r="H76" s="601">
        <f t="shared" si="9"/>
        <v>17653.587541864847</v>
      </c>
      <c r="I76" s="601">
        <f t="shared" si="9"/>
        <v>17653.587541864847</v>
      </c>
      <c r="J76" s="602">
        <f t="shared" si="9"/>
        <v>17653.587541864847</v>
      </c>
      <c r="K76" s="593">
        <f t="shared" si="7"/>
        <v>9.8522167487684609E-3</v>
      </c>
      <c r="L76" s="594">
        <f t="shared" si="7"/>
        <v>1.0000000000000009E-2</v>
      </c>
      <c r="M76" s="594">
        <f t="shared" si="7"/>
        <v>1.0000000000000009E-2</v>
      </c>
      <c r="N76" s="595">
        <f t="shared" si="7"/>
        <v>1.0000000000000009E-2</v>
      </c>
      <c r="O76" s="596">
        <v>-9.8911968348158741E-4</v>
      </c>
      <c r="P76" s="594">
        <v>-9.8911968348158741E-4</v>
      </c>
      <c r="Q76" s="594">
        <v>-9.8911968348158741E-4</v>
      </c>
      <c r="R76" s="597">
        <v>-9.8911968348158741E-4</v>
      </c>
      <c r="S76" s="599"/>
    </row>
    <row r="77" spans="2:19" ht="15" customHeight="1" x14ac:dyDescent="0.2">
      <c r="B77" s="605">
        <v>2022</v>
      </c>
      <c r="C77" s="606">
        <f>G77*Prix!C79/Prix!C$73</f>
        <v>18900.950844776002</v>
      </c>
      <c r="D77" s="607">
        <f>H77*Prix!D79/Prix!D$73</f>
        <v>18900.950844776002</v>
      </c>
      <c r="E77" s="607">
        <f>I77*Prix!E79/Prix!E$73</f>
        <v>18900.950844776002</v>
      </c>
      <c r="F77" s="608">
        <f>J77*Prix!F79/Prix!F$73</f>
        <v>18900.950844776002</v>
      </c>
      <c r="G77" s="606">
        <f t="shared" si="9"/>
        <v>17741.154940386001</v>
      </c>
      <c r="H77" s="607">
        <f t="shared" si="9"/>
        <v>17741.154940386001</v>
      </c>
      <c r="I77" s="607">
        <f t="shared" si="9"/>
        <v>17741.154940386001</v>
      </c>
      <c r="J77" s="608">
        <f t="shared" si="9"/>
        <v>17741.154940386001</v>
      </c>
      <c r="K77" s="609">
        <f t="shared" si="7"/>
        <v>1.3184178224390442E-2</v>
      </c>
      <c r="L77" s="610">
        <f t="shared" si="7"/>
        <v>1.3000000000000123E-2</v>
      </c>
      <c r="M77" s="610">
        <f t="shared" si="7"/>
        <v>1.3000000000000123E-2</v>
      </c>
      <c r="N77" s="611">
        <f t="shared" si="7"/>
        <v>1.3000000000000123E-2</v>
      </c>
      <c r="O77" s="612">
        <v>4.9603174603174427E-3</v>
      </c>
      <c r="P77" s="610">
        <v>4.9603174603174427E-3</v>
      </c>
      <c r="Q77" s="610">
        <v>4.9603174603174427E-3</v>
      </c>
      <c r="R77" s="613">
        <v>4.9603174603174427E-3</v>
      </c>
      <c r="S77" s="599"/>
    </row>
    <row r="78" spans="2:19" ht="15" customHeight="1" x14ac:dyDescent="0.2">
      <c r="B78" s="605">
        <v>2023</v>
      </c>
      <c r="C78" s="606">
        <f>G78*Prix!C80/Prix!C$73</f>
        <v>19146.663205758086</v>
      </c>
      <c r="D78" s="607">
        <f>H78*Prix!D80/Prix!D$73</f>
        <v>19146.663205758086</v>
      </c>
      <c r="E78" s="607">
        <f>I78*Prix!E80/Prix!E$73</f>
        <v>19146.663205758086</v>
      </c>
      <c r="F78" s="608">
        <f>J78*Prix!F80/Prix!F$73</f>
        <v>19146.663205758086</v>
      </c>
      <c r="G78" s="606">
        <f t="shared" si="9"/>
        <v>17758.685725900214</v>
      </c>
      <c r="H78" s="607">
        <f t="shared" si="9"/>
        <v>17758.685725900214</v>
      </c>
      <c r="I78" s="607">
        <f t="shared" si="9"/>
        <v>17758.685725900214</v>
      </c>
      <c r="J78" s="608">
        <f t="shared" si="9"/>
        <v>17758.685725900214</v>
      </c>
      <c r="K78" s="609">
        <f t="shared" si="7"/>
        <v>1.2999999999999901E-2</v>
      </c>
      <c r="L78" s="610">
        <f t="shared" si="7"/>
        <v>1.2999999999999901E-2</v>
      </c>
      <c r="M78" s="610">
        <f t="shared" si="7"/>
        <v>1.2999999999999901E-2</v>
      </c>
      <c r="N78" s="611">
        <f t="shared" si="7"/>
        <v>1.2999999999999901E-2</v>
      </c>
      <c r="O78" s="612">
        <v>9.8814229249000185E-4</v>
      </c>
      <c r="P78" s="610">
        <v>9.8814229249000185E-4</v>
      </c>
      <c r="Q78" s="610">
        <v>9.8814229249000185E-4</v>
      </c>
      <c r="R78" s="613">
        <v>9.8814229249000185E-4</v>
      </c>
      <c r="S78" s="599"/>
    </row>
    <row r="79" spans="2:19" ht="15" customHeight="1" x14ac:dyDescent="0.2">
      <c r="B79" s="605">
        <v>2024</v>
      </c>
      <c r="C79" s="606">
        <f>G79*Prix!C81/Prix!C$73</f>
        <v>19433.863153844453</v>
      </c>
      <c r="D79" s="607">
        <f>H79*Prix!D81/Prix!D$73</f>
        <v>19433.863153844453</v>
      </c>
      <c r="E79" s="607">
        <f>I79*Prix!E81/Prix!E$73</f>
        <v>19433.863153844453</v>
      </c>
      <c r="F79" s="608">
        <f>J79*Prix!F81/Prix!F$73</f>
        <v>19433.863153844453</v>
      </c>
      <c r="G79" s="606">
        <f t="shared" si="9"/>
        <v>17758.685725900214</v>
      </c>
      <c r="H79" s="607">
        <f t="shared" si="9"/>
        <v>17758.685725900214</v>
      </c>
      <c r="I79" s="607">
        <f t="shared" si="9"/>
        <v>17758.685725900214</v>
      </c>
      <c r="J79" s="608">
        <f t="shared" si="9"/>
        <v>17758.685725900214</v>
      </c>
      <c r="K79" s="609">
        <f t="shared" si="7"/>
        <v>1.499999999999968E-2</v>
      </c>
      <c r="L79" s="610">
        <f t="shared" si="7"/>
        <v>1.499999999999968E-2</v>
      </c>
      <c r="M79" s="610">
        <f t="shared" si="7"/>
        <v>1.499999999999968E-2</v>
      </c>
      <c r="N79" s="611">
        <f t="shared" si="7"/>
        <v>1.499999999999968E-2</v>
      </c>
      <c r="O79" s="612">
        <v>0</v>
      </c>
      <c r="P79" s="610">
        <v>0</v>
      </c>
      <c r="Q79" s="610">
        <v>0</v>
      </c>
      <c r="R79" s="613">
        <v>0</v>
      </c>
      <c r="S79" s="599"/>
    </row>
    <row r="80" spans="2:19" ht="15" customHeight="1" x14ac:dyDescent="0.2">
      <c r="B80" s="605">
        <v>2025</v>
      </c>
      <c r="C80" s="606">
        <f>G80*Prix!C82/Prix!C$73</f>
        <v>19803.106553767495</v>
      </c>
      <c r="D80" s="607">
        <f>H80*Prix!D82/Prix!D$73</f>
        <v>19803.106553767495</v>
      </c>
      <c r="E80" s="607">
        <f>I80*Prix!E82/Prix!E$73</f>
        <v>19803.106553767495</v>
      </c>
      <c r="F80" s="608">
        <f>J80*Prix!F82/Prix!F$73</f>
        <v>19803.106553767495</v>
      </c>
      <c r="G80" s="606">
        <f t="shared" si="9"/>
        <v>17784.865606577212</v>
      </c>
      <c r="H80" s="607">
        <f t="shared" si="9"/>
        <v>17784.865606577212</v>
      </c>
      <c r="I80" s="607">
        <f t="shared" si="9"/>
        <v>17784.865606577212</v>
      </c>
      <c r="J80" s="608">
        <f t="shared" si="9"/>
        <v>17784.865606577212</v>
      </c>
      <c r="K80" s="609">
        <f t="shared" si="7"/>
        <v>1.8999999999999906E-2</v>
      </c>
      <c r="L80" s="610">
        <f t="shared" si="7"/>
        <v>1.8999999999999906E-2</v>
      </c>
      <c r="M80" s="610">
        <f t="shared" si="7"/>
        <v>1.8999999999999906E-2</v>
      </c>
      <c r="N80" s="611">
        <f t="shared" si="7"/>
        <v>1.8999999999999906E-2</v>
      </c>
      <c r="O80" s="612">
        <v>1.4742014742012977E-3</v>
      </c>
      <c r="P80" s="610">
        <v>1.4742014742012977E-3</v>
      </c>
      <c r="Q80" s="610">
        <v>1.4742014742012977E-3</v>
      </c>
      <c r="R80" s="613">
        <v>1.4742014742012977E-3</v>
      </c>
      <c r="S80" s="599"/>
    </row>
    <row r="81" spans="2:19" ht="15" customHeight="1" x14ac:dyDescent="0.2">
      <c r="B81" s="605">
        <v>2026</v>
      </c>
      <c r="C81" s="606">
        <f>G81*Prix!C83/Prix!C$73</f>
        <v>20212.664501959236</v>
      </c>
      <c r="D81" s="607">
        <f>H81*Prix!D83/Prix!D$73</f>
        <v>20206.619603683695</v>
      </c>
      <c r="E81" s="607">
        <f>I81*Prix!E83/Prix!E$73</f>
        <v>20202.589671500002</v>
      </c>
      <c r="F81" s="608">
        <f>J81*Prix!F83/Prix!F$73</f>
        <v>20196.544773224465</v>
      </c>
      <c r="G81" s="606">
        <f t="shared" si="9"/>
        <v>17840.474992255171</v>
      </c>
      <c r="H81" s="607">
        <f t="shared" si="9"/>
        <v>17835.139532573197</v>
      </c>
      <c r="I81" s="607">
        <f t="shared" si="9"/>
        <v>17831.582559451879</v>
      </c>
      <c r="J81" s="608">
        <f t="shared" si="9"/>
        <v>17826.247099769906</v>
      </c>
      <c r="K81" s="609">
        <f t="shared" si="7"/>
        <v>2.0681500000000019E-2</v>
      </c>
      <c r="L81" s="610">
        <f t="shared" si="7"/>
        <v>2.0376249999999763E-2</v>
      </c>
      <c r="M81" s="610">
        <f t="shared" si="7"/>
        <v>2.017274999999974E-2</v>
      </c>
      <c r="N81" s="611">
        <f t="shared" si="7"/>
        <v>1.9867499999999705E-2</v>
      </c>
      <c r="O81" s="612">
        <v>3.126781326781168E-3</v>
      </c>
      <c r="P81" s="610">
        <v>2.8267813267811681E-3</v>
      </c>
      <c r="Q81" s="610">
        <v>2.626781326781168E-3</v>
      </c>
      <c r="R81" s="613">
        <v>2.3267813267811681E-3</v>
      </c>
      <c r="S81" s="599"/>
    </row>
    <row r="82" spans="2:19" ht="15" customHeight="1" x14ac:dyDescent="0.2">
      <c r="B82" s="605">
        <v>2027</v>
      </c>
      <c r="C82" s="606">
        <f>G82*Prix!C84/Prix!C$73</f>
        <v>20664.680318216546</v>
      </c>
      <c r="D82" s="607">
        <f>H82*Prix!D84/Prix!D$73</f>
        <v>20646.164096612825</v>
      </c>
      <c r="E82" s="607">
        <f>I82*Prix!E84/Prix!E$73</f>
        <v>20633.824049333001</v>
      </c>
      <c r="F82" s="608">
        <f>J82*Prix!F84/Prix!F$73</f>
        <v>20615.320129097276</v>
      </c>
      <c r="G82" s="606">
        <f t="shared" si="9"/>
        <v>17925.741065854516</v>
      </c>
      <c r="H82" s="607">
        <f t="shared" si="9"/>
        <v>17909.679022364122</v>
      </c>
      <c r="I82" s="607">
        <f t="shared" si="9"/>
        <v>17898.974550343642</v>
      </c>
      <c r="J82" s="608">
        <f t="shared" si="9"/>
        <v>17882.923177772613</v>
      </c>
      <c r="K82" s="609">
        <f t="shared" si="7"/>
        <v>2.2362999999999689E-2</v>
      </c>
      <c r="L82" s="610">
        <f t="shared" si="7"/>
        <v>2.1752500000000063E-2</v>
      </c>
      <c r="M82" s="610">
        <f t="shared" si="7"/>
        <v>2.1345499999999795E-2</v>
      </c>
      <c r="N82" s="611">
        <f t="shared" si="7"/>
        <v>2.073500000000017E-2</v>
      </c>
      <c r="O82" s="612">
        <v>4.7793611793610384E-3</v>
      </c>
      <c r="P82" s="610">
        <v>4.1793611793610385E-3</v>
      </c>
      <c r="Q82" s="610">
        <v>3.7793611793610384E-3</v>
      </c>
      <c r="R82" s="613">
        <v>3.1793611793610381E-3</v>
      </c>
      <c r="S82" s="599"/>
    </row>
    <row r="83" spans="2:19" ht="15" customHeight="1" x14ac:dyDescent="0.2">
      <c r="B83" s="605">
        <v>2028</v>
      </c>
      <c r="C83" s="606">
        <f>G83*Prix!C85/Prix!C$73</f>
        <v>21161.552224127903</v>
      </c>
      <c r="D83" s="607">
        <f>H83*Prix!D85/Prix!D$73</f>
        <v>21123.684064462359</v>
      </c>
      <c r="E83" s="607">
        <f>I83*Prix!E85/Prix!E$73</f>
        <v>21098.461657731896</v>
      </c>
      <c r="F83" s="608">
        <f>J83*Prix!F85/Prix!F$73</f>
        <v>21060.662582186098</v>
      </c>
      <c r="G83" s="606">
        <f t="shared" si="9"/>
        <v>18041.038375343935</v>
      </c>
      <c r="H83" s="607">
        <f t="shared" si="9"/>
        <v>18008.75431061683</v>
      </c>
      <c r="I83" s="607">
        <f t="shared" si="9"/>
        <v>17987.251237358149</v>
      </c>
      <c r="J83" s="608">
        <f t="shared" si="9"/>
        <v>17955.026069504122</v>
      </c>
      <c r="K83" s="609">
        <f t="shared" si="7"/>
        <v>2.4044500000000024E-2</v>
      </c>
      <c r="L83" s="610">
        <f t="shared" si="7"/>
        <v>2.312874999999992E-2</v>
      </c>
      <c r="M83" s="610">
        <f t="shared" si="7"/>
        <v>2.2518250000000073E-2</v>
      </c>
      <c r="N83" s="611">
        <f t="shared" si="7"/>
        <v>2.1602499999999969E-2</v>
      </c>
      <c r="O83" s="612">
        <v>6.4319410319409083E-3</v>
      </c>
      <c r="P83" s="610">
        <v>5.5319410319409094E-3</v>
      </c>
      <c r="Q83" s="610">
        <v>4.9319410319409087E-3</v>
      </c>
      <c r="R83" s="613">
        <v>4.0319410319409089E-3</v>
      </c>
      <c r="S83" s="599"/>
    </row>
    <row r="84" spans="2:19" ht="15" customHeight="1" x14ac:dyDescent="0.2">
      <c r="B84" s="605">
        <v>2029</v>
      </c>
      <c r="C84" s="606">
        <f>G84*Prix!C86/Prix!C$73</f>
        <v>21705.954316645817</v>
      </c>
      <c r="D84" s="607">
        <f>H84*Prix!D86/Prix!D$73</f>
        <v>21641.319942462007</v>
      </c>
      <c r="E84" s="607">
        <f>I84*Prix!E86/Prix!E$73</f>
        <v>21598.305312865221</v>
      </c>
      <c r="F84" s="608">
        <f>J84*Prix!F86/Prix!F$73</f>
        <v>21533.895670407819</v>
      </c>
      <c r="G84" s="606">
        <f t="shared" si="9"/>
        <v>18186.891526867843</v>
      </c>
      <c r="H84" s="607">
        <f t="shared" si="9"/>
        <v>18132.735955772474</v>
      </c>
      <c r="I84" s="607">
        <f t="shared" si="9"/>
        <v>18096.695043166976</v>
      </c>
      <c r="J84" s="608">
        <f t="shared" si="9"/>
        <v>18042.72776932273</v>
      </c>
      <c r="K84" s="609">
        <f t="shared" si="7"/>
        <v>2.5725999999999916E-2</v>
      </c>
      <c r="L84" s="610">
        <f t="shared" si="7"/>
        <v>2.4504999999999999E-2</v>
      </c>
      <c r="M84" s="610">
        <f t="shared" si="7"/>
        <v>2.3690999999999907E-2</v>
      </c>
      <c r="N84" s="611">
        <f t="shared" si="7"/>
        <v>2.246999999999999E-2</v>
      </c>
      <c r="O84" s="612">
        <v>8.0845208845207791E-3</v>
      </c>
      <c r="P84" s="610">
        <v>6.8845208845207794E-3</v>
      </c>
      <c r="Q84" s="610">
        <v>6.084520884520779E-3</v>
      </c>
      <c r="R84" s="613">
        <v>4.8845208845207785E-3</v>
      </c>
      <c r="S84" s="599"/>
    </row>
    <row r="85" spans="2:19" ht="15" customHeight="1" x14ac:dyDescent="0.2">
      <c r="B85" s="605">
        <v>2030</v>
      </c>
      <c r="C85" s="606">
        <f>G85*Prix!C87/Prix!C$73</f>
        <v>22300.860259579287</v>
      </c>
      <c r="D85" s="607">
        <f>H85*Prix!D87/Prix!D$73</f>
        <v>22201.424354222854</v>
      </c>
      <c r="E85" s="607">
        <f>I85*Prix!E87/Prix!E$73</f>
        <v>22135.320176587971</v>
      </c>
      <c r="F85" s="608">
        <f>J85*Prix!F87/Prix!F$73</f>
        <v>22036.442960615957</v>
      </c>
      <c r="G85" s="606">
        <f t="shared" si="9"/>
        <v>18363.979121759676</v>
      </c>
      <c r="H85" s="607">
        <f t="shared" si="9"/>
        <v>18282.097128479421</v>
      </c>
      <c r="I85" s="607">
        <f t="shared" si="9"/>
        <v>18227.662648202964</v>
      </c>
      <c r="J85" s="608">
        <f t="shared" si="9"/>
        <v>18146.240716107415</v>
      </c>
      <c r="K85" s="609">
        <f t="shared" si="7"/>
        <v>2.7407500000000029E-2</v>
      </c>
      <c r="L85" s="610">
        <f t="shared" si="7"/>
        <v>2.5881250000000078E-2</v>
      </c>
      <c r="M85" s="610">
        <f t="shared" si="7"/>
        <v>2.4863749999999962E-2</v>
      </c>
      <c r="N85" s="611">
        <f t="shared" si="7"/>
        <v>2.3337499999999789E-2</v>
      </c>
      <c r="O85" s="612">
        <v>9.7371007371006481E-3</v>
      </c>
      <c r="P85" s="610">
        <v>8.2371007371006503E-3</v>
      </c>
      <c r="Q85" s="610">
        <v>7.2371007371006494E-3</v>
      </c>
      <c r="R85" s="613">
        <v>5.7371007371006489E-3</v>
      </c>
      <c r="S85" s="599"/>
    </row>
    <row r="86" spans="2:19" ht="15" customHeight="1" x14ac:dyDescent="0.2">
      <c r="B86" s="605">
        <v>2031</v>
      </c>
      <c r="C86" s="606">
        <f>G86*Prix!C88/Prix!C$73</f>
        <v>22949.56998367019</v>
      </c>
      <c r="D86" s="607">
        <f>H86*Prix!D88/Prix!D$73</f>
        <v>22806.579678558082</v>
      </c>
      <c r="E86" s="607">
        <f>I86*Prix!E88/Prix!E$73</f>
        <v>22711.646440365708</v>
      </c>
      <c r="F86" s="608">
        <f>J86*Prix!F88/Prix!F$73</f>
        <v>22569.835062477669</v>
      </c>
      <c r="G86" s="606">
        <f t="shared" si="9"/>
        <v>18573.138978312079</v>
      </c>
      <c r="H86" s="607">
        <f t="shared" si="9"/>
        <v>18457.416600451052</v>
      </c>
      <c r="I86" s="607">
        <f t="shared" si="9"/>
        <v>18380.586915717839</v>
      </c>
      <c r="J86" s="608">
        <f t="shared" si="9"/>
        <v>18265.818646330019</v>
      </c>
      <c r="K86" s="609">
        <f t="shared" si="7"/>
        <v>2.908899999999992E-2</v>
      </c>
      <c r="L86" s="610">
        <f t="shared" si="7"/>
        <v>2.7257499999999935E-2</v>
      </c>
      <c r="M86" s="610">
        <f t="shared" si="7"/>
        <v>2.603650000000024E-2</v>
      </c>
      <c r="N86" s="611">
        <f t="shared" si="7"/>
        <v>2.4205000000000032E-2</v>
      </c>
      <c r="O86" s="612">
        <v>1.1389680589680517E-2</v>
      </c>
      <c r="P86" s="610">
        <v>9.5896805896805212E-3</v>
      </c>
      <c r="Q86" s="610">
        <v>8.3896805896805197E-3</v>
      </c>
      <c r="R86" s="613">
        <v>6.5896805896805185E-3</v>
      </c>
      <c r="S86" s="599"/>
    </row>
    <row r="87" spans="2:19" ht="15" customHeight="1" x14ac:dyDescent="0.2">
      <c r="B87" s="605">
        <v>2032</v>
      </c>
      <c r="C87" s="606">
        <f>G87*Prix!C89/Prix!C$73</f>
        <v>23655.739726852713</v>
      </c>
      <c r="D87" s="607">
        <f>H87*Prix!D89/Prix!D$73</f>
        <v>23459.617579428999</v>
      </c>
      <c r="E87" s="607">
        <f>I87*Prix!E89/Prix!E$73</f>
        <v>23329.61330627323</v>
      </c>
      <c r="F87" s="608">
        <f>J87*Prix!F89/Prix!F$73</f>
        <v>23135.717252081638</v>
      </c>
      <c r="G87" s="606">
        <f t="shared" si="9"/>
        <v>18815.374694097525</v>
      </c>
      <c r="H87" s="607">
        <f t="shared" si="9"/>
        <v>18659.382459984488</v>
      </c>
      <c r="I87" s="607">
        <f t="shared" si="9"/>
        <v>18555.97926314922</v>
      </c>
      <c r="J87" s="608">
        <f t="shared" si="9"/>
        <v>18401.757625887101</v>
      </c>
      <c r="K87" s="609">
        <f t="shared" si="7"/>
        <v>3.0770500000000034E-2</v>
      </c>
      <c r="L87" s="610">
        <f t="shared" si="7"/>
        <v>2.8633750000000235E-2</v>
      </c>
      <c r="M87" s="610">
        <f t="shared" si="7"/>
        <v>2.7209250000000074E-2</v>
      </c>
      <c r="N87" s="611">
        <f t="shared" si="7"/>
        <v>2.5072499999999831E-2</v>
      </c>
      <c r="O87" s="612">
        <v>1.3042260442260388E-2</v>
      </c>
      <c r="P87" s="610">
        <v>1.094226044226039E-2</v>
      </c>
      <c r="Q87" s="610">
        <v>9.5422604422603901E-3</v>
      </c>
      <c r="R87" s="613">
        <v>7.4422604422603889E-3</v>
      </c>
      <c r="S87" s="599"/>
    </row>
    <row r="88" spans="2:19" ht="15" customHeight="1" x14ac:dyDescent="0.2">
      <c r="B88" s="605">
        <v>2033</v>
      </c>
      <c r="C88" s="606">
        <f>G88*Prix!C90/Prix!C$73</f>
        <v>24423.415792468546</v>
      </c>
      <c r="D88" s="607">
        <f>H88*Prix!D90/Prix!D$73</f>
        <v>24163.640702987661</v>
      </c>
      <c r="E88" s="607">
        <f>I88*Prix!E90/Prix!E$73</f>
        <v>23991.754391131879</v>
      </c>
      <c r="F88" s="608">
        <f>J88*Prix!F90/Prix!F$73</f>
        <v>23735.857757600636</v>
      </c>
      <c r="G88" s="606">
        <f t="shared" si="9"/>
        <v>19091.863620314871</v>
      </c>
      <c r="H88" s="607">
        <f t="shared" si="9"/>
        <v>18888.79658733034</v>
      </c>
      <c r="I88" s="607">
        <f t="shared" si="9"/>
        <v>18754.432497882972</v>
      </c>
      <c r="J88" s="608">
        <f t="shared" si="9"/>
        <v>18554.397266538192</v>
      </c>
      <c r="K88" s="609">
        <f t="shared" si="7"/>
        <v>3.2452000000000369E-2</v>
      </c>
      <c r="L88" s="610">
        <f t="shared" si="7"/>
        <v>3.000999999999987E-2</v>
      </c>
      <c r="M88" s="610">
        <f t="shared" si="7"/>
        <v>2.8382000000000129E-2</v>
      </c>
      <c r="N88" s="611">
        <f t="shared" si="7"/>
        <v>2.5940000000000074E-2</v>
      </c>
      <c r="O88" s="612">
        <v>1.4694840294840257E-2</v>
      </c>
      <c r="P88" s="610">
        <v>1.2294840294840259E-2</v>
      </c>
      <c r="Q88" s="610">
        <v>1.069484029484026E-2</v>
      </c>
      <c r="R88" s="613">
        <v>8.2948402948402594E-3</v>
      </c>
      <c r="S88" s="599"/>
    </row>
    <row r="89" spans="2:19" ht="15" customHeight="1" x14ac:dyDescent="0.2">
      <c r="B89" s="605">
        <v>2034</v>
      </c>
      <c r="C89" s="606">
        <f>G89*Prix!C91/Prix!C$73</f>
        <v>25257.07245542077</v>
      </c>
      <c r="D89" s="607">
        <f>H89*Prix!D91/Prix!D$73</f>
        <v>24922.046771001813</v>
      </c>
      <c r="E89" s="607">
        <f>I89*Prix!E91/Prix!E$73</f>
        <v>24700.824694223185</v>
      </c>
      <c r="F89" s="608">
        <f>J89*Prix!F91/Prix!F$73</f>
        <v>24372.156764437514</v>
      </c>
      <c r="G89" s="606">
        <f t="shared" si="9"/>
        <v>19403.966336313402</v>
      </c>
      <c r="H89" s="607">
        <f t="shared" si="9"/>
        <v>19146.579930436794</v>
      </c>
      <c r="I89" s="607">
        <f t="shared" si="9"/>
        <v>18976.624139311822</v>
      </c>
      <c r="J89" s="608">
        <f t="shared" si="9"/>
        <v>18724.122133917361</v>
      </c>
      <c r="K89" s="609">
        <f t="shared" si="7"/>
        <v>3.4133500000000039E-2</v>
      </c>
      <c r="L89" s="610">
        <f t="shared" si="7"/>
        <v>3.1386250000000171E-2</v>
      </c>
      <c r="M89" s="610">
        <f t="shared" si="7"/>
        <v>2.9554749999999963E-2</v>
      </c>
      <c r="N89" s="611">
        <f t="shared" si="7"/>
        <v>2.6807499999999873E-2</v>
      </c>
      <c r="O89" s="612">
        <v>1.6347420147420126E-2</v>
      </c>
      <c r="P89" s="610">
        <v>1.3647420147420129E-2</v>
      </c>
      <c r="Q89" s="610">
        <v>1.1847420147420129E-2</v>
      </c>
      <c r="R89" s="613">
        <v>9.147420147420128E-3</v>
      </c>
      <c r="S89" s="599"/>
    </row>
    <row r="90" spans="2:19" ht="15" customHeight="1" x14ac:dyDescent="0.2">
      <c r="B90" s="605">
        <v>2035</v>
      </c>
      <c r="C90" s="606">
        <f>G90*Prix!C92/Prix!C$73</f>
        <v>26161.654505411669</v>
      </c>
      <c r="D90" s="607">
        <f>H90*Prix!D92/Prix!D$73</f>
        <v>25738.555328336755</v>
      </c>
      <c r="E90" s="607">
        <f>I90*Prix!E92/Prix!E$73</f>
        <v>25459.819285014932</v>
      </c>
      <c r="F90" s="608">
        <f>J90*Prix!F92/Prix!F$73</f>
        <v>25046.656202893326</v>
      </c>
      <c r="G90" s="606">
        <f t="shared" si="9"/>
        <v>19753.237730367044</v>
      </c>
      <c r="H90" s="607">
        <f t="shared" si="9"/>
        <v>19433.778629393342</v>
      </c>
      <c r="I90" s="607">
        <f t="shared" si="9"/>
        <v>19223.320253122874</v>
      </c>
      <c r="J90" s="608">
        <f t="shared" si="9"/>
        <v>18911.363355256533</v>
      </c>
      <c r="K90" s="609">
        <f t="shared" si="7"/>
        <v>3.5815000000000152E-2</v>
      </c>
      <c r="L90" s="610">
        <f t="shared" si="7"/>
        <v>3.2762499999999806E-2</v>
      </c>
      <c r="M90" s="610">
        <f t="shared" si="7"/>
        <v>3.0727500000000241E-2</v>
      </c>
      <c r="N90" s="611">
        <f t="shared" si="7"/>
        <v>2.7675000000000116E-2</v>
      </c>
      <c r="O90" s="612">
        <v>1.8000000000000002E-2</v>
      </c>
      <c r="P90" s="610">
        <v>1.4999999999999999E-2</v>
      </c>
      <c r="Q90" s="610">
        <v>1.3000000000000001E-2</v>
      </c>
      <c r="R90" s="613">
        <v>0.01</v>
      </c>
      <c r="S90" s="599"/>
    </row>
    <row r="91" spans="2:19" ht="15" customHeight="1" x14ac:dyDescent="0.2">
      <c r="B91" s="605">
        <v>2036</v>
      </c>
      <c r="C91" s="606">
        <f>G91*Prix!C93/Prix!C$73</f>
        <v>27098.63416152299</v>
      </c>
      <c r="D91" s="607">
        <f>H91*Prix!D93/Prix!D$73</f>
        <v>26581.814747281387</v>
      </c>
      <c r="E91" s="607">
        <f>I91*Prix!E93/Prix!E$73</f>
        <v>26242.135882095226</v>
      </c>
      <c r="F91" s="608">
        <f>J91*Prix!F93/Prix!F$73</f>
        <v>25739.8224133084</v>
      </c>
      <c r="G91" s="606">
        <f t="shared" ref="G91:J106" si="10">G90*(1+O91)</f>
        <v>20108.796009513651</v>
      </c>
      <c r="H91" s="607">
        <f t="shared" si="10"/>
        <v>19725.285308834242</v>
      </c>
      <c r="I91" s="607">
        <f t="shared" si="10"/>
        <v>19473.223416413472</v>
      </c>
      <c r="J91" s="608">
        <f t="shared" si="10"/>
        <v>19100.4769888091</v>
      </c>
      <c r="K91" s="609">
        <f t="shared" si="7"/>
        <v>3.5815000000000152E-2</v>
      </c>
      <c r="L91" s="610">
        <f t="shared" si="7"/>
        <v>3.2762500000000028E-2</v>
      </c>
      <c r="M91" s="610">
        <f t="shared" si="7"/>
        <v>3.0727500000000019E-2</v>
      </c>
      <c r="N91" s="611">
        <f t="shared" si="7"/>
        <v>2.7675000000000116E-2</v>
      </c>
      <c r="O91" s="612">
        <v>1.8000000000000002E-2</v>
      </c>
      <c r="P91" s="610">
        <v>1.4999999999999999E-2</v>
      </c>
      <c r="Q91" s="610">
        <v>1.3000000000000001E-2</v>
      </c>
      <c r="R91" s="613">
        <v>0.01</v>
      </c>
      <c r="S91" s="599"/>
    </row>
    <row r="92" spans="2:19" ht="15" customHeight="1" x14ac:dyDescent="0.2">
      <c r="B92" s="605">
        <v>2037</v>
      </c>
      <c r="C92" s="606">
        <f>G92*Prix!C94/Prix!C$73</f>
        <v>28069.171744017942</v>
      </c>
      <c r="D92" s="607">
        <f>H92*Prix!D94/Prix!D$73</f>
        <v>27452.701452939193</v>
      </c>
      <c r="E92" s="607">
        <f>I92*Prix!E94/Prix!E$73</f>
        <v>27048.49111241231</v>
      </c>
      <c r="F92" s="608">
        <f>J92*Prix!F94/Prix!F$73</f>
        <v>26452.171998596714</v>
      </c>
      <c r="G92" s="606">
        <f t="shared" si="10"/>
        <v>20470.754337684899</v>
      </c>
      <c r="H92" s="607">
        <f t="shared" si="10"/>
        <v>20021.164588466752</v>
      </c>
      <c r="I92" s="607">
        <f t="shared" si="10"/>
        <v>19726.375320826846</v>
      </c>
      <c r="J92" s="608">
        <f t="shared" si="10"/>
        <v>19291.481758697191</v>
      </c>
      <c r="K92" s="609">
        <f t="shared" si="7"/>
        <v>3.5815000000000152E-2</v>
      </c>
      <c r="L92" s="610">
        <f t="shared" si="7"/>
        <v>3.2762500000000028E-2</v>
      </c>
      <c r="M92" s="610">
        <f t="shared" si="7"/>
        <v>3.0727500000000019E-2</v>
      </c>
      <c r="N92" s="611">
        <f t="shared" si="7"/>
        <v>2.7675000000000116E-2</v>
      </c>
      <c r="O92" s="612">
        <v>1.8000000000000002E-2</v>
      </c>
      <c r="P92" s="610">
        <v>1.4999999999999999E-2</v>
      </c>
      <c r="Q92" s="610">
        <v>1.3000000000000001E-2</v>
      </c>
      <c r="R92" s="613">
        <v>0.01</v>
      </c>
      <c r="S92" s="599"/>
    </row>
    <row r="93" spans="2:19" ht="15" customHeight="1" x14ac:dyDescent="0.2">
      <c r="B93" s="605">
        <v>2038</v>
      </c>
      <c r="C93" s="606">
        <f>G93*Prix!C95/Prix!C$73</f>
        <v>29074.469130029949</v>
      </c>
      <c r="D93" s="607">
        <f>H93*Prix!D95/Prix!D$73</f>
        <v>28352.120584291115</v>
      </c>
      <c r="E93" s="607">
        <f>I93*Prix!E95/Prix!E$73</f>
        <v>27879.623623068961</v>
      </c>
      <c r="F93" s="608">
        <f>J93*Prix!F95/Prix!F$73</f>
        <v>27184.235858657878</v>
      </c>
      <c r="G93" s="606">
        <f t="shared" si="10"/>
        <v>20839.227915763229</v>
      </c>
      <c r="H93" s="607">
        <f t="shared" si="10"/>
        <v>20321.482057293753</v>
      </c>
      <c r="I93" s="607">
        <f t="shared" si="10"/>
        <v>19982.818199997593</v>
      </c>
      <c r="J93" s="608">
        <f t="shared" si="10"/>
        <v>19484.396576284162</v>
      </c>
      <c r="K93" s="609">
        <f t="shared" si="7"/>
        <v>3.5815000000000152E-2</v>
      </c>
      <c r="L93" s="610">
        <f t="shared" si="7"/>
        <v>3.2762500000000028E-2</v>
      </c>
      <c r="M93" s="610">
        <f t="shared" si="7"/>
        <v>3.0727500000000019E-2</v>
      </c>
      <c r="N93" s="611">
        <f t="shared" si="7"/>
        <v>2.7674999999999894E-2</v>
      </c>
      <c r="O93" s="612">
        <v>1.8000000000000002E-2</v>
      </c>
      <c r="P93" s="610">
        <v>1.4999999999999999E-2</v>
      </c>
      <c r="Q93" s="610">
        <v>1.3000000000000001E-2</v>
      </c>
      <c r="R93" s="613">
        <v>0.01</v>
      </c>
      <c r="S93" s="599"/>
    </row>
    <row r="94" spans="2:19" ht="15" customHeight="1" x14ac:dyDescent="0.2">
      <c r="B94" s="605">
        <v>2039</v>
      </c>
      <c r="C94" s="606">
        <f>G94*Prix!C96/Prix!C$73</f>
        <v>30115.771241921972</v>
      </c>
      <c r="D94" s="607">
        <f>H94*Prix!D96/Prix!D$73</f>
        <v>29281.006934933954</v>
      </c>
      <c r="E94" s="607">
        <f>I94*Prix!E96/Prix!E$73</f>
        <v>28736.294757946805</v>
      </c>
      <c r="F94" s="608">
        <f>J94*Prix!F96/Prix!F$73</f>
        <v>27936.559586046234</v>
      </c>
      <c r="G94" s="606">
        <f t="shared" si="10"/>
        <v>21214.334018246969</v>
      </c>
      <c r="H94" s="607">
        <f t="shared" si="10"/>
        <v>20626.304288153158</v>
      </c>
      <c r="I94" s="607">
        <f t="shared" si="10"/>
        <v>20242.59483659756</v>
      </c>
      <c r="J94" s="608">
        <f t="shared" si="10"/>
        <v>19679.240542047002</v>
      </c>
      <c r="K94" s="609">
        <f t="shared" si="7"/>
        <v>3.581499999999993E-2</v>
      </c>
      <c r="L94" s="610">
        <f t="shared" si="7"/>
        <v>3.2762500000000028E-2</v>
      </c>
      <c r="M94" s="610">
        <f t="shared" si="7"/>
        <v>3.0727499999999797E-2</v>
      </c>
      <c r="N94" s="611">
        <f t="shared" si="7"/>
        <v>2.7675000000000116E-2</v>
      </c>
      <c r="O94" s="612">
        <v>1.8000000000000002E-2</v>
      </c>
      <c r="P94" s="610">
        <v>1.4999999999999999E-2</v>
      </c>
      <c r="Q94" s="610">
        <v>1.3000000000000001E-2</v>
      </c>
      <c r="R94" s="613">
        <v>0.01</v>
      </c>
      <c r="S94" s="599"/>
    </row>
    <row r="95" spans="2:19" ht="15" customHeight="1" x14ac:dyDescent="0.2">
      <c r="B95" s="605">
        <v>2040</v>
      </c>
      <c r="C95" s="606">
        <f>G95*Prix!C97/Prix!C$73</f>
        <v>31194.367588951409</v>
      </c>
      <c r="D95" s="607">
        <f>H95*Prix!D97/Prix!D$73</f>
        <v>30240.325924639721</v>
      </c>
      <c r="E95" s="607">
        <f>I95*Prix!E97/Prix!E$73</f>
        <v>29619.289255121617</v>
      </c>
      <c r="F95" s="608">
        <f>J95*Prix!F97/Prix!F$73</f>
        <v>28709.703872590067</v>
      </c>
      <c r="G95" s="606">
        <f t="shared" si="10"/>
        <v>21596.192030575414</v>
      </c>
      <c r="H95" s="607">
        <f t="shared" si="10"/>
        <v>20935.698852475452</v>
      </c>
      <c r="I95" s="607">
        <f t="shared" si="10"/>
        <v>20505.748569473326</v>
      </c>
      <c r="J95" s="608">
        <f t="shared" si="10"/>
        <v>19876.032947467473</v>
      </c>
      <c r="K95" s="609">
        <f t="shared" si="7"/>
        <v>3.5815000000000152E-2</v>
      </c>
      <c r="L95" s="610">
        <f t="shared" si="7"/>
        <v>3.2762499999999806E-2</v>
      </c>
      <c r="M95" s="610">
        <f t="shared" si="7"/>
        <v>3.0727500000000019E-2</v>
      </c>
      <c r="N95" s="611">
        <f t="shared" si="7"/>
        <v>2.7675000000000116E-2</v>
      </c>
      <c r="O95" s="612">
        <v>1.8000000000000002E-2</v>
      </c>
      <c r="P95" s="610">
        <v>1.4999999999999999E-2</v>
      </c>
      <c r="Q95" s="610">
        <v>1.3000000000000001E-2</v>
      </c>
      <c r="R95" s="613">
        <v>0.01</v>
      </c>
      <c r="S95" s="599"/>
    </row>
    <row r="96" spans="2:19" ht="15" customHeight="1" x14ac:dyDescent="0.2">
      <c r="B96" s="605">
        <v>2041</v>
      </c>
      <c r="C96" s="606">
        <f>G96*Prix!C98/Prix!C$73</f>
        <v>32311.593864149709</v>
      </c>
      <c r="D96" s="607">
        <f>H96*Prix!D98/Prix!D$73</f>
        <v>31231.074602745732</v>
      </c>
      <c r="E96" s="607">
        <f>I96*Prix!E98/Prix!E$73</f>
        <v>30529.415965708366</v>
      </c>
      <c r="F96" s="608">
        <f>J96*Prix!F98/Prix!F$73</f>
        <v>29504.244927263997</v>
      </c>
      <c r="G96" s="606">
        <f t="shared" si="10"/>
        <v>21984.923487125772</v>
      </c>
      <c r="H96" s="607">
        <f t="shared" si="10"/>
        <v>21249.734335262583</v>
      </c>
      <c r="I96" s="607">
        <f t="shared" si="10"/>
        <v>20772.323300876476</v>
      </c>
      <c r="J96" s="608">
        <f t="shared" si="10"/>
        <v>20074.793276942146</v>
      </c>
      <c r="K96" s="609">
        <f t="shared" si="7"/>
        <v>3.5815000000000152E-2</v>
      </c>
      <c r="L96" s="610">
        <f t="shared" si="7"/>
        <v>3.2762500000000028E-2</v>
      </c>
      <c r="M96" s="610">
        <f t="shared" si="7"/>
        <v>3.0727500000000019E-2</v>
      </c>
      <c r="N96" s="611">
        <f t="shared" si="7"/>
        <v>2.7674999999999894E-2</v>
      </c>
      <c r="O96" s="612">
        <v>1.8000000000000002E-2</v>
      </c>
      <c r="P96" s="610">
        <v>1.4999999999999999E-2</v>
      </c>
      <c r="Q96" s="610">
        <v>1.3000000000000001E-2</v>
      </c>
      <c r="R96" s="613">
        <v>0.01</v>
      </c>
      <c r="S96" s="599"/>
    </row>
    <row r="97" spans="2:19" ht="15" customHeight="1" x14ac:dyDescent="0.2">
      <c r="B97" s="605">
        <v>2042</v>
      </c>
      <c r="C97" s="606">
        <f>G97*Prix!C99/Prix!C$73</f>
        <v>33468.833598394238</v>
      </c>
      <c r="D97" s="607">
        <f>H97*Prix!D99/Prix!D$73</f>
        <v>32254.282684418191</v>
      </c>
      <c r="E97" s="607">
        <f>I97*Prix!E99/Prix!E$73</f>
        <v>31467.508594794672</v>
      </c>
      <c r="F97" s="608">
        <f>J97*Prix!F99/Prix!F$73</f>
        <v>30320.774905626029</v>
      </c>
      <c r="G97" s="606">
        <f t="shared" si="10"/>
        <v>22380.652109894036</v>
      </c>
      <c r="H97" s="607">
        <f t="shared" si="10"/>
        <v>21568.48035029152</v>
      </c>
      <c r="I97" s="607">
        <f t="shared" si="10"/>
        <v>21042.36350378787</v>
      </c>
      <c r="J97" s="608">
        <f t="shared" si="10"/>
        <v>20275.541209711566</v>
      </c>
      <c r="K97" s="609">
        <f t="shared" si="7"/>
        <v>3.5815000000000152E-2</v>
      </c>
      <c r="L97" s="610">
        <f t="shared" si="7"/>
        <v>3.2762500000000028E-2</v>
      </c>
      <c r="M97" s="610">
        <f t="shared" si="7"/>
        <v>3.0727500000000019E-2</v>
      </c>
      <c r="N97" s="611">
        <f t="shared" si="7"/>
        <v>2.7675000000000116E-2</v>
      </c>
      <c r="O97" s="612">
        <v>1.8000000000000002E-2</v>
      </c>
      <c r="P97" s="610">
        <v>1.4999999999999999E-2</v>
      </c>
      <c r="Q97" s="610">
        <v>1.3000000000000001E-2</v>
      </c>
      <c r="R97" s="613">
        <v>0.01</v>
      </c>
      <c r="S97" s="599"/>
    </row>
    <row r="98" spans="2:19" ht="15" customHeight="1" x14ac:dyDescent="0.2">
      <c r="B98" s="605">
        <v>2043</v>
      </c>
      <c r="C98" s="606">
        <f>G98*Prix!C100/Prix!C$73</f>
        <v>34667.519873720725</v>
      </c>
      <c r="D98" s="607">
        <f>H98*Prix!D100/Prix!D$73</f>
        <v>33311.013620866441</v>
      </c>
      <c r="E98" s="607">
        <f>I98*Prix!E100/Prix!E$73</f>
        <v>32434.426465141223</v>
      </c>
      <c r="F98" s="608">
        <f>J98*Prix!F100/Prix!F$73</f>
        <v>31159.902351139226</v>
      </c>
      <c r="G98" s="606">
        <f t="shared" si="10"/>
        <v>22783.503847872129</v>
      </c>
      <c r="H98" s="607">
        <f t="shared" si="10"/>
        <v>21892.00755554589</v>
      </c>
      <c r="I98" s="607">
        <f t="shared" si="10"/>
        <v>21315.914229337111</v>
      </c>
      <c r="J98" s="608">
        <f t="shared" si="10"/>
        <v>20478.29662180868</v>
      </c>
      <c r="K98" s="609">
        <f t="shared" si="7"/>
        <v>3.581499999999993E-2</v>
      </c>
      <c r="L98" s="610">
        <f t="shared" si="7"/>
        <v>3.2762500000000028E-2</v>
      </c>
      <c r="M98" s="610">
        <f t="shared" si="7"/>
        <v>3.0727500000000019E-2</v>
      </c>
      <c r="N98" s="611">
        <f t="shared" si="7"/>
        <v>2.7674999999999894E-2</v>
      </c>
      <c r="O98" s="612">
        <v>1.8000000000000002E-2</v>
      </c>
      <c r="P98" s="610">
        <v>1.4999999999999999E-2</v>
      </c>
      <c r="Q98" s="610">
        <v>1.3000000000000001E-2</v>
      </c>
      <c r="R98" s="613">
        <v>0.01</v>
      </c>
      <c r="S98" s="599"/>
    </row>
    <row r="99" spans="2:19" ht="15" customHeight="1" x14ac:dyDescent="0.2">
      <c r="B99" s="605">
        <v>2044</v>
      </c>
      <c r="C99" s="606">
        <f>G99*Prix!C101/Prix!C$73</f>
        <v>35909.137097998027</v>
      </c>
      <c r="D99" s="607">
        <f>H99*Prix!D101/Prix!D$73</f>
        <v>34402.365704620075</v>
      </c>
      <c r="E99" s="607">
        <f>I99*Prix!E101/Prix!E$73</f>
        <v>33431.055304348847</v>
      </c>
      <c r="F99" s="608">
        <f>J99*Prix!F101/Prix!F$73</f>
        <v>32022.252648707006</v>
      </c>
      <c r="G99" s="606">
        <f t="shared" si="10"/>
        <v>23193.606917133828</v>
      </c>
      <c r="H99" s="607">
        <f t="shared" si="10"/>
        <v>22220.387668879077</v>
      </c>
      <c r="I99" s="607">
        <f t="shared" si="10"/>
        <v>21593.021114318493</v>
      </c>
      <c r="J99" s="608">
        <f t="shared" si="10"/>
        <v>20683.079588026769</v>
      </c>
      <c r="K99" s="609">
        <f t="shared" si="7"/>
        <v>3.581499999999993E-2</v>
      </c>
      <c r="L99" s="610">
        <f t="shared" si="7"/>
        <v>3.2762500000000028E-2</v>
      </c>
      <c r="M99" s="610">
        <f t="shared" si="7"/>
        <v>3.0727500000000019E-2</v>
      </c>
      <c r="N99" s="611">
        <f t="shared" si="7"/>
        <v>2.7675000000000116E-2</v>
      </c>
      <c r="O99" s="612">
        <v>1.8000000000000002E-2</v>
      </c>
      <c r="P99" s="610">
        <v>1.4999999999999999E-2</v>
      </c>
      <c r="Q99" s="610">
        <v>1.3000000000000001E-2</v>
      </c>
      <c r="R99" s="613">
        <v>0.01</v>
      </c>
      <c r="S99" s="599"/>
    </row>
    <row r="100" spans="2:19" ht="15" customHeight="1" x14ac:dyDescent="0.2">
      <c r="B100" s="605">
        <v>2045</v>
      </c>
      <c r="C100" s="606">
        <f>G100*Prix!C102/Prix!C$73</f>
        <v>37195.222843162832</v>
      </c>
      <c r="D100" s="607">
        <f>H100*Prix!D102/Prix!D$73</f>
        <v>35529.473211017685</v>
      </c>
      <c r="E100" s="607">
        <f>I100*Prix!E102/Prix!E$73</f>
        <v>34458.308056213224</v>
      </c>
      <c r="F100" s="608">
        <f>J100*Prix!F102/Prix!F$73</f>
        <v>32908.468490759973</v>
      </c>
      <c r="G100" s="606">
        <f t="shared" si="10"/>
        <v>23611.091841642236</v>
      </c>
      <c r="H100" s="607">
        <f t="shared" si="10"/>
        <v>22553.693483912262</v>
      </c>
      <c r="I100" s="607">
        <f t="shared" si="10"/>
        <v>21873.73038880463</v>
      </c>
      <c r="J100" s="608">
        <f t="shared" si="10"/>
        <v>20889.910383907038</v>
      </c>
      <c r="K100" s="609">
        <f t="shared" si="7"/>
        <v>3.5815000000000152E-2</v>
      </c>
      <c r="L100" s="610">
        <f t="shared" si="7"/>
        <v>3.2762499999999806E-2</v>
      </c>
      <c r="M100" s="610">
        <f t="shared" si="7"/>
        <v>3.0727500000000019E-2</v>
      </c>
      <c r="N100" s="611">
        <f t="shared" si="7"/>
        <v>2.7675000000000116E-2</v>
      </c>
      <c r="O100" s="612">
        <v>1.8000000000000002E-2</v>
      </c>
      <c r="P100" s="610">
        <v>1.4999999999999999E-2</v>
      </c>
      <c r="Q100" s="610">
        <v>1.3000000000000001E-2</v>
      </c>
      <c r="R100" s="613">
        <v>0.01</v>
      </c>
      <c r="S100" s="599"/>
    </row>
    <row r="101" spans="2:19" ht="15" customHeight="1" x14ac:dyDescent="0.2">
      <c r="B101" s="605">
        <v>2046</v>
      </c>
      <c r="C101" s="606">
        <f>G101*Prix!C103/Prix!C$73</f>
        <v>38527.369749290716</v>
      </c>
      <c r="D101" s="607">
        <f>H101*Prix!D103/Prix!D$73</f>
        <v>36693.507577093646</v>
      </c>
      <c r="E101" s="607">
        <f>I101*Prix!E103/Prix!E$73</f>
        <v>35517.125717010509</v>
      </c>
      <c r="F101" s="608">
        <f>J101*Prix!F103/Prix!F$73</f>
        <v>33819.210356241761</v>
      </c>
      <c r="G101" s="606">
        <f t="shared" si="10"/>
        <v>24036.091494791795</v>
      </c>
      <c r="H101" s="607">
        <f t="shared" si="10"/>
        <v>22891.998886170943</v>
      </c>
      <c r="I101" s="607">
        <f t="shared" si="10"/>
        <v>22158.088883859087</v>
      </c>
      <c r="J101" s="608">
        <f t="shared" si="10"/>
        <v>21098.809487746108</v>
      </c>
      <c r="K101" s="609">
        <f t="shared" si="7"/>
        <v>3.5815000000000152E-2</v>
      </c>
      <c r="L101" s="610">
        <f t="shared" si="7"/>
        <v>3.2762499999999806E-2</v>
      </c>
      <c r="M101" s="610">
        <f t="shared" si="7"/>
        <v>3.0727499999999797E-2</v>
      </c>
      <c r="N101" s="611">
        <f t="shared" si="7"/>
        <v>2.7675000000000116E-2</v>
      </c>
      <c r="O101" s="612">
        <v>1.8000000000000002E-2</v>
      </c>
      <c r="P101" s="610">
        <v>1.4999999999999999E-2</v>
      </c>
      <c r="Q101" s="610">
        <v>1.3000000000000001E-2</v>
      </c>
      <c r="R101" s="613">
        <v>0.01</v>
      </c>
      <c r="S101" s="599"/>
    </row>
    <row r="102" spans="2:19" ht="15" customHeight="1" x14ac:dyDescent="0.2">
      <c r="B102" s="605">
        <v>2047</v>
      </c>
      <c r="C102" s="606">
        <f>G102*Prix!C104/Prix!C$73</f>
        <v>39907.22749686156</v>
      </c>
      <c r="D102" s="607">
        <f>H102*Prix!D104/Prix!D$73</f>
        <v>37895.678619088176</v>
      </c>
      <c r="E102" s="607">
        <f>I102*Prix!E104/Prix!E$73</f>
        <v>36608.478197479948</v>
      </c>
      <c r="F102" s="608">
        <f>J102*Prix!F104/Prix!F$73</f>
        <v>34755.157002850763</v>
      </c>
      <c r="G102" s="606">
        <f t="shared" si="10"/>
        <v>24468.741141698047</v>
      </c>
      <c r="H102" s="607">
        <f t="shared" si="10"/>
        <v>23235.378869463504</v>
      </c>
      <c r="I102" s="607">
        <f t="shared" si="10"/>
        <v>22446.144039349252</v>
      </c>
      <c r="J102" s="608">
        <f t="shared" si="10"/>
        <v>21309.797582623571</v>
      </c>
      <c r="K102" s="609">
        <f t="shared" si="7"/>
        <v>3.581499999999993E-2</v>
      </c>
      <c r="L102" s="610">
        <f t="shared" si="7"/>
        <v>3.2762500000000028E-2</v>
      </c>
      <c r="M102" s="610">
        <f t="shared" si="7"/>
        <v>3.0727500000000019E-2</v>
      </c>
      <c r="N102" s="611">
        <f t="shared" si="7"/>
        <v>2.7675000000000338E-2</v>
      </c>
      <c r="O102" s="612">
        <v>1.8000000000000002E-2</v>
      </c>
      <c r="P102" s="610">
        <v>1.4999999999999999E-2</v>
      </c>
      <c r="Q102" s="610">
        <v>1.3000000000000001E-2</v>
      </c>
      <c r="R102" s="613">
        <v>0.01</v>
      </c>
      <c r="S102" s="599"/>
    </row>
    <row r="103" spans="2:19" ht="15" customHeight="1" x14ac:dyDescent="0.2">
      <c r="B103" s="605">
        <v>2048</v>
      </c>
      <c r="C103" s="606">
        <f>G103*Prix!C105/Prix!C$73</f>
        <v>41336.504849661658</v>
      </c>
      <c r="D103" s="607">
        <f>H103*Prix!D105/Prix!D$73</f>
        <v>39137.235789846061</v>
      </c>
      <c r="E103" s="607">
        <f>I103*Prix!E105/Prix!E$73</f>
        <v>37733.365211293014</v>
      </c>
      <c r="F103" s="608">
        <f>J103*Prix!F105/Prix!F$73</f>
        <v>35717.005972904655</v>
      </c>
      <c r="G103" s="606">
        <f t="shared" si="10"/>
        <v>24909.178482248612</v>
      </c>
      <c r="H103" s="607">
        <f t="shared" si="10"/>
        <v>23583.909552505454</v>
      </c>
      <c r="I103" s="607">
        <f t="shared" si="10"/>
        <v>22737.943911860792</v>
      </c>
      <c r="J103" s="608">
        <f t="shared" si="10"/>
        <v>21522.895558449807</v>
      </c>
      <c r="K103" s="609">
        <f t="shared" si="7"/>
        <v>3.581499999999993E-2</v>
      </c>
      <c r="L103" s="610">
        <f t="shared" si="7"/>
        <v>3.276250000000025E-2</v>
      </c>
      <c r="M103" s="610">
        <f t="shared" si="7"/>
        <v>3.0727500000000019E-2</v>
      </c>
      <c r="N103" s="611">
        <f t="shared" si="7"/>
        <v>2.7674999999999894E-2</v>
      </c>
      <c r="O103" s="612">
        <v>1.8000000000000002E-2</v>
      </c>
      <c r="P103" s="610">
        <v>1.4999999999999999E-2</v>
      </c>
      <c r="Q103" s="610">
        <v>1.3000000000000001E-2</v>
      </c>
      <c r="R103" s="613">
        <v>0.01</v>
      </c>
      <c r="S103" s="599"/>
    </row>
    <row r="104" spans="2:19" ht="15" customHeight="1" x14ac:dyDescent="0.2">
      <c r="B104" s="605">
        <v>2049</v>
      </c>
      <c r="C104" s="606">
        <f>G104*Prix!C106/Prix!C$73</f>
        <v>42816.971770852295</v>
      </c>
      <c r="D104" s="607">
        <f>H104*Prix!D106/Prix!D$73</f>
        <v>40419.469477410887</v>
      </c>
      <c r="E104" s="607">
        <f>I104*Prix!E106/Prix!E$73</f>
        <v>38892.817190823029</v>
      </c>
      <c r="F104" s="608">
        <f>J104*Prix!F106/Prix!F$73</f>
        <v>36705.474113204793</v>
      </c>
      <c r="G104" s="606">
        <f t="shared" si="10"/>
        <v>25357.543694929085</v>
      </c>
      <c r="H104" s="607">
        <f t="shared" si="10"/>
        <v>23937.668195793034</v>
      </c>
      <c r="I104" s="607">
        <f t="shared" si="10"/>
        <v>23033.537182714979</v>
      </c>
      <c r="J104" s="608">
        <f t="shared" si="10"/>
        <v>21738.124514034305</v>
      </c>
      <c r="K104" s="609">
        <f t="shared" si="7"/>
        <v>3.5815000000000152E-2</v>
      </c>
      <c r="L104" s="610">
        <f t="shared" si="7"/>
        <v>3.2762499999999806E-2</v>
      </c>
      <c r="M104" s="610">
        <f t="shared" ref="M104:N125" si="11">E104/E103-1</f>
        <v>3.0727500000000241E-2</v>
      </c>
      <c r="N104" s="611">
        <f t="shared" si="11"/>
        <v>2.7675000000000116E-2</v>
      </c>
      <c r="O104" s="612">
        <v>1.8000000000000002E-2</v>
      </c>
      <c r="P104" s="610">
        <v>1.4999999999999999E-2</v>
      </c>
      <c r="Q104" s="610">
        <v>1.3000000000000001E-2</v>
      </c>
      <c r="R104" s="613">
        <v>0.01</v>
      </c>
      <c r="S104" s="599"/>
    </row>
    <row r="105" spans="2:19" ht="15" customHeight="1" x14ac:dyDescent="0.2">
      <c r="B105" s="605">
        <v>2050</v>
      </c>
      <c r="C105" s="606">
        <f>G105*Prix!C107/Prix!C$73</f>
        <v>44350.46161482537</v>
      </c>
      <c r="D105" s="607">
        <f>H105*Prix!D107/Prix!D$73</f>
        <v>41743.712346164561</v>
      </c>
      <c r="E105" s="607">
        <f>I105*Prix!E107/Prix!E$73</f>
        <v>40087.896231054045</v>
      </c>
      <c r="F105" s="608">
        <f>J105*Prix!F107/Prix!F$73</f>
        <v>37721.298109287738</v>
      </c>
      <c r="G105" s="606">
        <f t="shared" si="10"/>
        <v>25813.979481437807</v>
      </c>
      <c r="H105" s="607">
        <f t="shared" si="10"/>
        <v>24296.733218729929</v>
      </c>
      <c r="I105" s="607">
        <f t="shared" si="10"/>
        <v>23332.973166090273</v>
      </c>
      <c r="J105" s="608">
        <f t="shared" si="10"/>
        <v>21955.505759174648</v>
      </c>
      <c r="K105" s="609">
        <f t="shared" ref="K105:L125" si="12">C105/C104-1</f>
        <v>3.581499999999993E-2</v>
      </c>
      <c r="L105" s="610">
        <f t="shared" si="12"/>
        <v>3.2762500000000028E-2</v>
      </c>
      <c r="M105" s="610">
        <f t="shared" si="11"/>
        <v>3.0727500000000019E-2</v>
      </c>
      <c r="N105" s="611">
        <f t="shared" si="11"/>
        <v>2.7675000000000116E-2</v>
      </c>
      <c r="O105" s="612">
        <v>1.8000000000000002E-2</v>
      </c>
      <c r="P105" s="610">
        <v>1.4999999999999999E-2</v>
      </c>
      <c r="Q105" s="610">
        <v>1.3000000000000001E-2</v>
      </c>
      <c r="R105" s="613">
        <v>0.01</v>
      </c>
      <c r="S105" s="599"/>
    </row>
    <row r="106" spans="2:19" ht="15" customHeight="1" x14ac:dyDescent="0.2">
      <c r="B106" s="605">
        <v>2051</v>
      </c>
      <c r="C106" s="606">
        <f>G106*Prix!C108/Prix!C$73</f>
        <v>45938.873397560346</v>
      </c>
      <c r="D106" s="607">
        <f>H106*Prix!D108/Prix!D$73</f>
        <v>43111.340721905777</v>
      </c>
      <c r="E106" s="607">
        <f>I106*Prix!E108/Prix!E$73</f>
        <v>41319.697062493753</v>
      </c>
      <c r="F106" s="608">
        <f>J106*Prix!F108/Prix!F$73</f>
        <v>38765.235034462283</v>
      </c>
      <c r="G106" s="606">
        <f t="shared" si="10"/>
        <v>26278.631112103689</v>
      </c>
      <c r="H106" s="607">
        <f t="shared" si="10"/>
        <v>24661.184217010876</v>
      </c>
      <c r="I106" s="607">
        <f t="shared" si="10"/>
        <v>23636.301817249445</v>
      </c>
      <c r="J106" s="608">
        <f t="shared" si="10"/>
        <v>22175.060816766396</v>
      </c>
      <c r="K106" s="609">
        <f t="shared" si="12"/>
        <v>3.5815000000000152E-2</v>
      </c>
      <c r="L106" s="610">
        <f t="shared" si="12"/>
        <v>3.2762500000000028E-2</v>
      </c>
      <c r="M106" s="610">
        <f t="shared" si="11"/>
        <v>3.0727499999999797E-2</v>
      </c>
      <c r="N106" s="611">
        <f t="shared" si="11"/>
        <v>2.7675000000000116E-2</v>
      </c>
      <c r="O106" s="612">
        <v>1.8000000000000002E-2</v>
      </c>
      <c r="P106" s="610">
        <v>1.4999999999999999E-2</v>
      </c>
      <c r="Q106" s="610">
        <v>1.3000000000000001E-2</v>
      </c>
      <c r="R106" s="613">
        <v>0.01</v>
      </c>
      <c r="S106" s="599"/>
    </row>
    <row r="107" spans="2:19" ht="15" customHeight="1" x14ac:dyDescent="0.2">
      <c r="B107" s="605">
        <v>2052</v>
      </c>
      <c r="C107" s="606">
        <f>G107*Prix!C109/Prix!C$73</f>
        <v>47584.174148293969</v>
      </c>
      <c r="D107" s="607">
        <f>H107*Prix!D109/Prix!D$73</f>
        <v>44523.776022307218</v>
      </c>
      <c r="E107" s="607">
        <f>I107*Prix!E109/Prix!E$73</f>
        <v>42589.348053981535</v>
      </c>
      <c r="F107" s="608">
        <f>J107*Prix!F109/Prix!F$73</f>
        <v>39838.062914041031</v>
      </c>
      <c r="G107" s="606">
        <f t="shared" ref="G107:J122" si="13">G106*(1+O107)</f>
        <v>26751.646472121556</v>
      </c>
      <c r="H107" s="607">
        <f t="shared" si="13"/>
        <v>25031.101980266038</v>
      </c>
      <c r="I107" s="607">
        <f t="shared" si="13"/>
        <v>23943.573740873686</v>
      </c>
      <c r="J107" s="608">
        <f t="shared" si="13"/>
        <v>22396.811424934062</v>
      </c>
      <c r="K107" s="609">
        <f t="shared" si="12"/>
        <v>3.581499999999993E-2</v>
      </c>
      <c r="L107" s="610">
        <f t="shared" si="12"/>
        <v>3.2762500000000028E-2</v>
      </c>
      <c r="M107" s="610">
        <f t="shared" si="11"/>
        <v>3.0727500000000241E-2</v>
      </c>
      <c r="N107" s="611">
        <f t="shared" si="11"/>
        <v>2.7675000000000116E-2</v>
      </c>
      <c r="O107" s="612">
        <v>1.8000000000000002E-2</v>
      </c>
      <c r="P107" s="610">
        <v>1.4999999999999999E-2</v>
      </c>
      <c r="Q107" s="610">
        <v>1.3000000000000001E-2</v>
      </c>
      <c r="R107" s="613">
        <v>0.01</v>
      </c>
      <c r="S107" s="599"/>
    </row>
    <row r="108" spans="2:19" ht="15" customHeight="1" x14ac:dyDescent="0.2">
      <c r="B108" s="605">
        <v>2053</v>
      </c>
      <c r="C108" s="606">
        <f>G108*Prix!C110/Prix!C$73</f>
        <v>49288.401345415128</v>
      </c>
      <c r="D108" s="607">
        <f>H108*Prix!D110/Prix!D$73</f>
        <v>45982.486234238058</v>
      </c>
      <c r="E108" s="607">
        <f>I108*Prix!E110/Prix!E$73</f>
        <v>43898.012246310245</v>
      </c>
      <c r="F108" s="608">
        <f>J108*Prix!F110/Prix!F$73</f>
        <v>40940.581305187123</v>
      </c>
      <c r="G108" s="606">
        <f t="shared" si="13"/>
        <v>27233.176108619744</v>
      </c>
      <c r="H108" s="607">
        <f t="shared" si="13"/>
        <v>25406.568509970024</v>
      </c>
      <c r="I108" s="607">
        <f t="shared" si="13"/>
        <v>24254.840199505041</v>
      </c>
      <c r="J108" s="608">
        <f t="shared" si="13"/>
        <v>22620.779539183401</v>
      </c>
      <c r="K108" s="609">
        <f t="shared" si="12"/>
        <v>3.5815000000000152E-2</v>
      </c>
      <c r="L108" s="610">
        <f t="shared" si="12"/>
        <v>3.2762500000000028E-2</v>
      </c>
      <c r="M108" s="610">
        <f t="shared" si="11"/>
        <v>3.0727499999999797E-2</v>
      </c>
      <c r="N108" s="611">
        <f t="shared" si="11"/>
        <v>2.7675000000000116E-2</v>
      </c>
      <c r="O108" s="612">
        <v>1.8000000000000002E-2</v>
      </c>
      <c r="P108" s="610">
        <v>1.4999999999999999E-2</v>
      </c>
      <c r="Q108" s="610">
        <v>1.3000000000000001E-2</v>
      </c>
      <c r="R108" s="613">
        <v>0.01</v>
      </c>
      <c r="S108" s="599"/>
    </row>
    <row r="109" spans="2:19" ht="15" customHeight="1" x14ac:dyDescent="0.2">
      <c r="B109" s="605">
        <v>2054</v>
      </c>
      <c r="C109" s="606">
        <f>G109*Prix!C111/Prix!C$73</f>
        <v>51053.665439601173</v>
      </c>
      <c r="D109" s="607">
        <f>H109*Prix!D111/Prix!D$73</f>
        <v>47488.987439487282</v>
      </c>
      <c r="E109" s="607">
        <f>I109*Prix!E111/Prix!E$73</f>
        <v>45246.888417608745</v>
      </c>
      <c r="F109" s="608">
        <f>J109*Prix!F111/Prix!F$73</f>
        <v>42073.611892808178</v>
      </c>
      <c r="G109" s="606">
        <f t="shared" si="13"/>
        <v>27723.373278574898</v>
      </c>
      <c r="H109" s="607">
        <f t="shared" si="13"/>
        <v>25787.667037619573</v>
      </c>
      <c r="I109" s="607">
        <f t="shared" si="13"/>
        <v>24570.153122098603</v>
      </c>
      <c r="J109" s="608">
        <f t="shared" si="13"/>
        <v>22846.987334575235</v>
      </c>
      <c r="K109" s="609">
        <f t="shared" si="12"/>
        <v>3.581499999999993E-2</v>
      </c>
      <c r="L109" s="610">
        <f t="shared" si="12"/>
        <v>3.2762500000000028E-2</v>
      </c>
      <c r="M109" s="610">
        <f t="shared" si="11"/>
        <v>3.0727500000000019E-2</v>
      </c>
      <c r="N109" s="611">
        <f t="shared" si="11"/>
        <v>2.7675000000000116E-2</v>
      </c>
      <c r="O109" s="612">
        <v>1.8000000000000002E-2</v>
      </c>
      <c r="P109" s="610">
        <v>1.4999999999999999E-2</v>
      </c>
      <c r="Q109" s="610">
        <v>1.3000000000000001E-2</v>
      </c>
      <c r="R109" s="613">
        <v>0.01</v>
      </c>
      <c r="S109" s="599"/>
    </row>
    <row r="110" spans="2:19" ht="15" customHeight="1" x14ac:dyDescent="0.2">
      <c r="B110" s="605">
        <v>2055</v>
      </c>
      <c r="C110" s="606">
        <f>G110*Prix!C112/Prix!C$73</f>
        <v>52882.152467320491</v>
      </c>
      <c r="D110" s="607">
        <f>H110*Prix!D112/Prix!D$73</f>
        <v>49044.845390473485</v>
      </c>
      <c r="E110" s="607">
        <f>I110*Prix!E112/Prix!E$73</f>
        <v>46637.212181460818</v>
      </c>
      <c r="F110" s="608">
        <f>J110*Prix!F112/Prix!F$73</f>
        <v>43237.999101941648</v>
      </c>
      <c r="G110" s="606">
        <f t="shared" si="13"/>
        <v>28222.393997589246</v>
      </c>
      <c r="H110" s="607">
        <f t="shared" si="13"/>
        <v>26174.482043183863</v>
      </c>
      <c r="I110" s="607">
        <f t="shared" si="13"/>
        <v>24889.565112685883</v>
      </c>
      <c r="J110" s="608">
        <f t="shared" si="13"/>
        <v>23075.457207920987</v>
      </c>
      <c r="K110" s="609">
        <f t="shared" si="12"/>
        <v>3.5815000000000152E-2</v>
      </c>
      <c r="L110" s="610">
        <f t="shared" si="12"/>
        <v>3.2762500000000028E-2</v>
      </c>
      <c r="M110" s="610">
        <f t="shared" si="11"/>
        <v>3.0727500000000019E-2</v>
      </c>
      <c r="N110" s="611">
        <f t="shared" si="11"/>
        <v>2.7675000000000116E-2</v>
      </c>
      <c r="O110" s="612">
        <v>1.8000000000000002E-2</v>
      </c>
      <c r="P110" s="610">
        <v>1.4999999999999999E-2</v>
      </c>
      <c r="Q110" s="610">
        <v>1.3000000000000001E-2</v>
      </c>
      <c r="R110" s="613">
        <v>0.01</v>
      </c>
      <c r="S110" s="599"/>
    </row>
    <row r="111" spans="2:19" ht="15" customHeight="1" x14ac:dyDescent="0.2">
      <c r="B111" s="605">
        <v>2056</v>
      </c>
      <c r="C111" s="606">
        <f>G111*Prix!C113/Prix!C$73</f>
        <v>54776.126757937578</v>
      </c>
      <c r="D111" s="607">
        <f>H111*Prix!D113/Prix!D$73</f>
        <v>50651.677137578874</v>
      </c>
      <c r="E111" s="607">
        <f>I111*Prix!E113/Prix!E$73</f>
        <v>48070.257118766654</v>
      </c>
      <c r="F111" s="608">
        <f>J111*Prix!F113/Prix!F$73</f>
        <v>44434.610727087893</v>
      </c>
      <c r="G111" s="606">
        <f t="shared" si="13"/>
        <v>28730.397089545851</v>
      </c>
      <c r="H111" s="607">
        <f t="shared" si="13"/>
        <v>26567.09927383162</v>
      </c>
      <c r="I111" s="607">
        <f t="shared" si="13"/>
        <v>25213.129459150798</v>
      </c>
      <c r="J111" s="608">
        <f t="shared" si="13"/>
        <v>23306.211780000198</v>
      </c>
      <c r="K111" s="609">
        <f t="shared" si="12"/>
        <v>3.5815000000000152E-2</v>
      </c>
      <c r="L111" s="610">
        <f t="shared" si="12"/>
        <v>3.2762500000000028E-2</v>
      </c>
      <c r="M111" s="610">
        <f t="shared" si="11"/>
        <v>3.0727500000000019E-2</v>
      </c>
      <c r="N111" s="611">
        <f t="shared" si="11"/>
        <v>2.7675000000000116E-2</v>
      </c>
      <c r="O111" s="612">
        <v>1.8000000000000002E-2</v>
      </c>
      <c r="P111" s="610">
        <v>1.4999999999999999E-2</v>
      </c>
      <c r="Q111" s="610">
        <v>1.3000000000000001E-2</v>
      </c>
      <c r="R111" s="613">
        <v>0.01</v>
      </c>
      <c r="S111" s="599"/>
    </row>
    <row r="112" spans="2:19" ht="15" customHeight="1" x14ac:dyDescent="0.2">
      <c r="B112" s="605">
        <v>2057</v>
      </c>
      <c r="C112" s="606">
        <f>G112*Prix!C114/Prix!C$73</f>
        <v>56737.933737773114</v>
      </c>
      <c r="D112" s="607">
        <f>H112*Prix!D114/Prix!D$73</f>
        <v>52311.1527097988</v>
      </c>
      <c r="E112" s="607">
        <f>I112*Prix!E114/Prix!E$73</f>
        <v>49547.335944383558</v>
      </c>
      <c r="F112" s="608">
        <f>J112*Prix!F114/Prix!F$73</f>
        <v>45664.338578960058</v>
      </c>
      <c r="G112" s="606">
        <f t="shared" si="13"/>
        <v>29247.544237157676</v>
      </c>
      <c r="H112" s="607">
        <f t="shared" si="13"/>
        <v>26965.605762939093</v>
      </c>
      <c r="I112" s="607">
        <f t="shared" si="13"/>
        <v>25540.900142119757</v>
      </c>
      <c r="J112" s="608">
        <f t="shared" si="13"/>
        <v>23539.273897800202</v>
      </c>
      <c r="K112" s="609">
        <f t="shared" si="12"/>
        <v>3.581499999999993E-2</v>
      </c>
      <c r="L112" s="610">
        <f t="shared" si="12"/>
        <v>3.2762500000000028E-2</v>
      </c>
      <c r="M112" s="610">
        <f t="shared" si="11"/>
        <v>3.0727500000000019E-2</v>
      </c>
      <c r="N112" s="611">
        <f t="shared" si="11"/>
        <v>2.7675000000000116E-2</v>
      </c>
      <c r="O112" s="612">
        <v>1.8000000000000002E-2</v>
      </c>
      <c r="P112" s="610">
        <v>1.4999999999999999E-2</v>
      </c>
      <c r="Q112" s="610">
        <v>1.3000000000000001E-2</v>
      </c>
      <c r="R112" s="613">
        <v>0.01</v>
      </c>
      <c r="S112" s="599"/>
    </row>
    <row r="113" spans="2:19" ht="15" customHeight="1" x14ac:dyDescent="0.2">
      <c r="B113" s="605">
        <v>2058</v>
      </c>
      <c r="C113" s="606">
        <f>G113*Prix!C115/Prix!C$73</f>
        <v>58770.002834591462</v>
      </c>
      <c r="D113" s="607">
        <f>H113*Prix!D115/Prix!D$73</f>
        <v>54024.996850453586</v>
      </c>
      <c r="E113" s="607">
        <f>I113*Prix!E115/Prix!E$73</f>
        <v>51069.8017096146</v>
      </c>
      <c r="F113" s="608">
        <f>J113*Prix!F115/Prix!F$73</f>
        <v>46928.09914913278</v>
      </c>
      <c r="G113" s="606">
        <f t="shared" si="13"/>
        <v>29774.000033426513</v>
      </c>
      <c r="H113" s="607">
        <f t="shared" si="13"/>
        <v>27370.089849383177</v>
      </c>
      <c r="I113" s="607">
        <f t="shared" si="13"/>
        <v>25872.931843967312</v>
      </c>
      <c r="J113" s="608">
        <f t="shared" si="13"/>
        <v>23774.666636778205</v>
      </c>
      <c r="K113" s="609">
        <f t="shared" si="12"/>
        <v>3.5815000000000152E-2</v>
      </c>
      <c r="L113" s="610">
        <f t="shared" si="12"/>
        <v>3.2762500000000028E-2</v>
      </c>
      <c r="M113" s="610">
        <f t="shared" si="11"/>
        <v>3.0727500000000019E-2</v>
      </c>
      <c r="N113" s="611">
        <f t="shared" si="11"/>
        <v>2.7675000000000116E-2</v>
      </c>
      <c r="O113" s="612">
        <v>1.8000000000000002E-2</v>
      </c>
      <c r="P113" s="610">
        <v>1.4999999999999999E-2</v>
      </c>
      <c r="Q113" s="610">
        <v>1.3000000000000001E-2</v>
      </c>
      <c r="R113" s="613">
        <v>0.01</v>
      </c>
      <c r="S113" s="599"/>
    </row>
    <row r="114" spans="2:19" ht="15" customHeight="1" x14ac:dyDescent="0.2">
      <c r="B114" s="605">
        <v>2059</v>
      </c>
      <c r="C114" s="606">
        <f>G114*Prix!C116/Prix!C$73</f>
        <v>60874.850486112351</v>
      </c>
      <c r="D114" s="607">
        <f>H114*Prix!D116/Prix!D$73</f>
        <v>55794.990809766554</v>
      </c>
      <c r="E114" s="607">
        <f>I114*Prix!E116/Prix!E$73</f>
        <v>52639.049041646773</v>
      </c>
      <c r="F114" s="608">
        <f>J114*Prix!F116/Prix!F$73</f>
        <v>48226.834293085019</v>
      </c>
      <c r="G114" s="606">
        <f t="shared" si="13"/>
        <v>30309.932034028192</v>
      </c>
      <c r="H114" s="607">
        <f t="shared" si="13"/>
        <v>27780.641197123921</v>
      </c>
      <c r="I114" s="607">
        <f t="shared" si="13"/>
        <v>26209.279957938885</v>
      </c>
      <c r="J114" s="608">
        <f t="shared" si="13"/>
        <v>24012.413303145986</v>
      </c>
      <c r="K114" s="609">
        <f t="shared" si="12"/>
        <v>3.581499999999993E-2</v>
      </c>
      <c r="L114" s="610">
        <f t="shared" si="12"/>
        <v>3.2762499999999584E-2</v>
      </c>
      <c r="M114" s="610">
        <f t="shared" si="11"/>
        <v>3.0727499999999797E-2</v>
      </c>
      <c r="N114" s="611">
        <f t="shared" si="11"/>
        <v>2.7674999999999672E-2</v>
      </c>
      <c r="O114" s="612">
        <v>1.8000000000000002E-2</v>
      </c>
      <c r="P114" s="610">
        <v>1.4999999999999999E-2</v>
      </c>
      <c r="Q114" s="610">
        <v>1.3000000000000001E-2</v>
      </c>
      <c r="R114" s="613">
        <v>0.01</v>
      </c>
      <c r="S114" s="599"/>
    </row>
    <row r="115" spans="2:19" ht="15" customHeight="1" x14ac:dyDescent="0.2">
      <c r="B115" s="605">
        <v>2060</v>
      </c>
      <c r="C115" s="606">
        <f>G115*Prix!C117/Prix!C$73</f>
        <v>63055.083256272468</v>
      </c>
      <c r="D115" s="607">
        <f>H115*Prix!D117/Prix!D$73</f>
        <v>57622.974196171534</v>
      </c>
      <c r="E115" s="607">
        <f>I115*Prix!E117/Prix!E$73</f>
        <v>54256.515421073978</v>
      </c>
      <c r="F115" s="608">
        <f>J115*Prix!F117/Prix!F$73</f>
        <v>49561.511932146153</v>
      </c>
      <c r="G115" s="606">
        <f t="shared" si="13"/>
        <v>30855.510810640699</v>
      </c>
      <c r="H115" s="607">
        <f t="shared" si="13"/>
        <v>28197.350815080776</v>
      </c>
      <c r="I115" s="607">
        <f t="shared" si="13"/>
        <v>26550.000597392089</v>
      </c>
      <c r="J115" s="608">
        <f t="shared" si="13"/>
        <v>24252.537436177445</v>
      </c>
      <c r="K115" s="609">
        <f t="shared" si="12"/>
        <v>3.5815000000000152E-2</v>
      </c>
      <c r="L115" s="610">
        <f t="shared" si="12"/>
        <v>3.2762500000000028E-2</v>
      </c>
      <c r="M115" s="610">
        <f t="shared" si="11"/>
        <v>3.0727500000000019E-2</v>
      </c>
      <c r="N115" s="611">
        <f t="shared" si="11"/>
        <v>2.7675000000000116E-2</v>
      </c>
      <c r="O115" s="612">
        <v>1.8000000000000002E-2</v>
      </c>
      <c r="P115" s="610">
        <v>1.4999999999999999E-2</v>
      </c>
      <c r="Q115" s="610">
        <v>1.3000000000000001E-2</v>
      </c>
      <c r="R115" s="613">
        <v>0.01</v>
      </c>
      <c r="S115" s="599"/>
    </row>
    <row r="116" spans="2:19" ht="15" customHeight="1" x14ac:dyDescent="0.2">
      <c r="B116" s="605">
        <v>2061</v>
      </c>
      <c r="C116" s="606">
        <f>G116*Prix!C118/Prix!C$73</f>
        <v>65313.401063095873</v>
      </c>
      <c r="D116" s="607">
        <f>H116*Prix!D118/Prix!D$73</f>
        <v>59510.846888273605</v>
      </c>
      <c r="E116" s="607">
        <f>I116*Prix!E118/Prix!E$73</f>
        <v>55923.682498675029</v>
      </c>
      <c r="F116" s="608">
        <f>J116*Prix!F118/Prix!F$73</f>
        <v>50933.126774868309</v>
      </c>
      <c r="G116" s="606">
        <f t="shared" si="13"/>
        <v>31410.910005232232</v>
      </c>
      <c r="H116" s="607">
        <f t="shared" si="13"/>
        <v>28620.311077306986</v>
      </c>
      <c r="I116" s="607">
        <f t="shared" si="13"/>
        <v>26895.150605158182</v>
      </c>
      <c r="J116" s="608">
        <f t="shared" si="13"/>
        <v>24495.062810539221</v>
      </c>
      <c r="K116" s="609">
        <f t="shared" si="12"/>
        <v>3.5815000000000152E-2</v>
      </c>
      <c r="L116" s="610">
        <f t="shared" si="12"/>
        <v>3.2762500000000028E-2</v>
      </c>
      <c r="M116" s="610">
        <f t="shared" si="11"/>
        <v>3.0727500000000019E-2</v>
      </c>
      <c r="N116" s="611">
        <f t="shared" si="11"/>
        <v>2.7675000000000116E-2</v>
      </c>
      <c r="O116" s="612">
        <v>1.8000000000000002E-2</v>
      </c>
      <c r="P116" s="610">
        <v>1.4999999999999999E-2</v>
      </c>
      <c r="Q116" s="610">
        <v>1.3000000000000001E-2</v>
      </c>
      <c r="R116" s="613">
        <v>0.01</v>
      </c>
    </row>
    <row r="117" spans="2:19" ht="15" customHeight="1" x14ac:dyDescent="0.2">
      <c r="B117" s="605">
        <v>2062</v>
      </c>
      <c r="C117" s="606">
        <f>G117*Prix!C119/Prix!C$73</f>
        <v>67652.600522170658</v>
      </c>
      <c r="D117" s="607">
        <f>H117*Prix!D119/Prix!D$73</f>
        <v>61460.571009450658</v>
      </c>
      <c r="E117" s="607">
        <f>I117*Prix!E119/Prix!E$73</f>
        <v>57642.077452653059</v>
      </c>
      <c r="F117" s="608">
        <f>J117*Prix!F119/Prix!F$73</f>
        <v>52342.701058362778</v>
      </c>
      <c r="G117" s="606">
        <f t="shared" si="13"/>
        <v>31976.306385326414</v>
      </c>
      <c r="H117" s="607">
        <f t="shared" si="13"/>
        <v>29049.615743466587</v>
      </c>
      <c r="I117" s="607">
        <f t="shared" si="13"/>
        <v>27244.787563025235</v>
      </c>
      <c r="J117" s="608">
        <f t="shared" si="13"/>
        <v>24740.013438644612</v>
      </c>
      <c r="K117" s="609">
        <f t="shared" si="12"/>
        <v>3.5815000000000152E-2</v>
      </c>
      <c r="L117" s="610">
        <f t="shared" si="12"/>
        <v>3.2762499999999806E-2</v>
      </c>
      <c r="M117" s="610">
        <f t="shared" si="11"/>
        <v>3.0727499999999797E-2</v>
      </c>
      <c r="N117" s="611">
        <f t="shared" si="11"/>
        <v>2.7674999999999672E-2</v>
      </c>
      <c r="O117" s="612">
        <v>1.8000000000000002E-2</v>
      </c>
      <c r="P117" s="610">
        <v>1.4999999999999999E-2</v>
      </c>
      <c r="Q117" s="610">
        <v>1.3000000000000001E-2</v>
      </c>
      <c r="R117" s="613">
        <v>0.01</v>
      </c>
    </row>
    <row r="118" spans="2:19" ht="15" customHeight="1" x14ac:dyDescent="0.2">
      <c r="B118" s="605">
        <v>2063</v>
      </c>
      <c r="C118" s="606">
        <f>G118*Prix!C120/Prix!C$73</f>
        <v>70075.578409872222</v>
      </c>
      <c r="D118" s="607">
        <f>H118*Prix!D120/Prix!D$73</f>
        <v>63474.172967147788</v>
      </c>
      <c r="E118" s="607">
        <f>I118*Prix!E120/Prix!E$73</f>
        <v>59413.274387579455</v>
      </c>
      <c r="F118" s="608">
        <f>J118*Prix!F120/Prix!F$73</f>
        <v>53791.285310152984</v>
      </c>
      <c r="G118" s="606">
        <f t="shared" si="13"/>
        <v>32551.879900262291</v>
      </c>
      <c r="H118" s="607">
        <f t="shared" si="13"/>
        <v>29485.359979618584</v>
      </c>
      <c r="I118" s="607">
        <f t="shared" si="13"/>
        <v>27598.96980134456</v>
      </c>
      <c r="J118" s="608">
        <f t="shared" si="13"/>
        <v>24987.413573031059</v>
      </c>
      <c r="K118" s="609">
        <f t="shared" si="12"/>
        <v>3.5815000000000374E-2</v>
      </c>
      <c r="L118" s="610">
        <f t="shared" si="12"/>
        <v>3.2762500000000028E-2</v>
      </c>
      <c r="M118" s="610">
        <f t="shared" si="11"/>
        <v>3.0727500000000019E-2</v>
      </c>
      <c r="N118" s="611">
        <f t="shared" si="11"/>
        <v>2.7675000000000338E-2</v>
      </c>
      <c r="O118" s="612">
        <v>1.8000000000000002E-2</v>
      </c>
      <c r="P118" s="610">
        <v>1.4999999999999999E-2</v>
      </c>
      <c r="Q118" s="610">
        <v>1.3000000000000001E-2</v>
      </c>
      <c r="R118" s="613">
        <v>0.01</v>
      </c>
    </row>
    <row r="119" spans="2:19" ht="15" customHeight="1" x14ac:dyDescent="0.2">
      <c r="B119" s="605">
        <v>2064</v>
      </c>
      <c r="C119" s="606">
        <f>G119*Prix!C121/Prix!C$73</f>
        <v>72585.335250621793</v>
      </c>
      <c r="D119" s="607">
        <f>H119*Prix!D121/Prix!D$73</f>
        <v>65553.745558983966</v>
      </c>
      <c r="E119" s="607">
        <f>I119*Prix!E121/Prix!E$73</f>
        <v>61238.8957763238</v>
      </c>
      <c r="F119" s="608">
        <f>J119*Prix!F121/Prix!F$73</f>
        <v>55279.959131111471</v>
      </c>
      <c r="G119" s="606">
        <f t="shared" si="13"/>
        <v>33137.813738467012</v>
      </c>
      <c r="H119" s="607">
        <f t="shared" si="13"/>
        <v>29927.640379312859</v>
      </c>
      <c r="I119" s="607">
        <f t="shared" si="13"/>
        <v>27957.756408762038</v>
      </c>
      <c r="J119" s="608">
        <f t="shared" si="13"/>
        <v>25237.287708761371</v>
      </c>
      <c r="K119" s="609">
        <f t="shared" si="12"/>
        <v>3.581499999999993E-2</v>
      </c>
      <c r="L119" s="610">
        <f t="shared" si="12"/>
        <v>3.2762500000000028E-2</v>
      </c>
      <c r="M119" s="610">
        <f t="shared" si="11"/>
        <v>3.0727500000000019E-2</v>
      </c>
      <c r="N119" s="611">
        <f t="shared" si="11"/>
        <v>2.7675000000000116E-2</v>
      </c>
      <c r="O119" s="612">
        <v>1.8000000000000002E-2</v>
      </c>
      <c r="P119" s="610">
        <v>1.4999999999999999E-2</v>
      </c>
      <c r="Q119" s="610">
        <v>1.3000000000000001E-2</v>
      </c>
      <c r="R119" s="613">
        <v>0.01</v>
      </c>
    </row>
    <row r="120" spans="2:19" ht="15" customHeight="1" x14ac:dyDescent="0.2">
      <c r="B120" s="605">
        <v>2065</v>
      </c>
      <c r="C120" s="606">
        <f>G120*Prix!C122/Prix!C$73</f>
        <v>75184.979032622825</v>
      </c>
      <c r="D120" s="607">
        <f>H120*Prix!D122/Prix!D$73</f>
        <v>67701.450147860174</v>
      </c>
      <c r="E120" s="607">
        <f>I120*Prix!E122/Prix!E$73</f>
        <v>63120.613946290781</v>
      </c>
      <c r="F120" s="608">
        <f>J120*Prix!F122/Prix!F$73</f>
        <v>56809.832000064984</v>
      </c>
      <c r="G120" s="606">
        <f t="shared" si="13"/>
        <v>33734.294385759422</v>
      </c>
      <c r="H120" s="607">
        <f t="shared" si="13"/>
        <v>30376.554985002549</v>
      </c>
      <c r="I120" s="607">
        <f t="shared" si="13"/>
        <v>28321.20724207594</v>
      </c>
      <c r="J120" s="608">
        <f t="shared" si="13"/>
        <v>25489.660585848986</v>
      </c>
      <c r="K120" s="609">
        <f t="shared" si="12"/>
        <v>3.5815000000000152E-2</v>
      </c>
      <c r="L120" s="610">
        <f t="shared" si="12"/>
        <v>3.2762500000000028E-2</v>
      </c>
      <c r="M120" s="610">
        <f t="shared" si="11"/>
        <v>3.0727499999999797E-2</v>
      </c>
      <c r="N120" s="611">
        <f t="shared" si="11"/>
        <v>2.7675000000000116E-2</v>
      </c>
      <c r="O120" s="612">
        <v>1.8000000000000002E-2</v>
      </c>
      <c r="P120" s="610">
        <v>1.4999999999999999E-2</v>
      </c>
      <c r="Q120" s="610">
        <v>1.3000000000000001E-2</v>
      </c>
      <c r="R120" s="613">
        <v>0.01</v>
      </c>
    </row>
    <row r="121" spans="2:19" ht="15" customHeight="1" x14ac:dyDescent="0.2">
      <c r="B121" s="605">
        <v>2066</v>
      </c>
      <c r="C121" s="606">
        <f>G121*Prix!C123/Prix!C$73</f>
        <v>77877.729056676209</v>
      </c>
      <c r="D121" s="607">
        <f>H121*Prix!D123/Prix!D$73</f>
        <v>69919.518908329439</v>
      </c>
      <c r="E121" s="607">
        <f>I121*Prix!E123/Prix!E$73</f>
        <v>65060.152611325422</v>
      </c>
      <c r="F121" s="608">
        <f>J121*Prix!F123/Prix!F$73</f>
        <v>58382.044100666782</v>
      </c>
      <c r="G121" s="606">
        <f t="shared" si="13"/>
        <v>34341.511684703095</v>
      </c>
      <c r="H121" s="607">
        <f t="shared" si="13"/>
        <v>30832.203309777586</v>
      </c>
      <c r="I121" s="607">
        <f t="shared" si="13"/>
        <v>28689.382936222923</v>
      </c>
      <c r="J121" s="608">
        <f t="shared" si="13"/>
        <v>25744.557191707474</v>
      </c>
      <c r="K121" s="609">
        <f t="shared" si="12"/>
        <v>3.581499999999993E-2</v>
      </c>
      <c r="L121" s="610">
        <f t="shared" si="12"/>
        <v>3.2762500000000028E-2</v>
      </c>
      <c r="M121" s="610">
        <f t="shared" si="11"/>
        <v>3.0727499999999797E-2</v>
      </c>
      <c r="N121" s="611">
        <f t="shared" si="11"/>
        <v>2.7675000000000116E-2</v>
      </c>
      <c r="O121" s="612">
        <v>1.8000000000000002E-2</v>
      </c>
      <c r="P121" s="610">
        <v>1.4999999999999999E-2</v>
      </c>
      <c r="Q121" s="610">
        <v>1.3000000000000001E-2</v>
      </c>
      <c r="R121" s="613">
        <v>0.01</v>
      </c>
    </row>
    <row r="122" spans="2:19" ht="15" customHeight="1" x14ac:dyDescent="0.2">
      <c r="B122" s="605">
        <v>2067</v>
      </c>
      <c r="C122" s="606">
        <f>G122*Prix!C124/Prix!C$73</f>
        <v>80666.919922841073</v>
      </c>
      <c r="D122" s="607">
        <f>H122*Prix!D124/Prix!D$73</f>
        <v>72210.257146563585</v>
      </c>
      <c r="E122" s="607">
        <f>I122*Prix!E124/Prix!E$73</f>
        <v>67059.288450689914</v>
      </c>
      <c r="F122" s="608">
        <f>J122*Prix!F124/Prix!F$73</f>
        <v>59997.767171152744</v>
      </c>
      <c r="G122" s="606">
        <f t="shared" si="13"/>
        <v>34959.658895027751</v>
      </c>
      <c r="H122" s="607">
        <f t="shared" si="13"/>
        <v>31294.686359424246</v>
      </c>
      <c r="I122" s="607">
        <f t="shared" si="13"/>
        <v>29062.344914393816</v>
      </c>
      <c r="J122" s="608">
        <f t="shared" si="13"/>
        <v>26002.00276362455</v>
      </c>
      <c r="K122" s="609">
        <f t="shared" si="12"/>
        <v>3.5815000000000152E-2</v>
      </c>
      <c r="L122" s="610">
        <f t="shared" si="12"/>
        <v>3.2762500000000028E-2</v>
      </c>
      <c r="M122" s="610">
        <f t="shared" si="11"/>
        <v>3.0727499999999797E-2</v>
      </c>
      <c r="N122" s="611">
        <f t="shared" si="11"/>
        <v>2.7675000000000116E-2</v>
      </c>
      <c r="O122" s="612">
        <v>1.8000000000000002E-2</v>
      </c>
      <c r="P122" s="610">
        <v>1.4999999999999999E-2</v>
      </c>
      <c r="Q122" s="610">
        <v>1.3000000000000001E-2</v>
      </c>
      <c r="R122" s="613">
        <v>0.01</v>
      </c>
    </row>
    <row r="123" spans="2:19" ht="15" customHeight="1" x14ac:dyDescent="0.2">
      <c r="B123" s="605">
        <v>2068</v>
      </c>
      <c r="C123" s="606">
        <f>G123*Prix!C125/Prix!C$73</f>
        <v>83556.005659877628</v>
      </c>
      <c r="D123" s="607">
        <f>H123*Prix!D125/Prix!D$73</f>
        <v>74576.045696327856</v>
      </c>
      <c r="E123" s="607">
        <f>I123*Prix!E125/Prix!E$73</f>
        <v>69119.852736558489</v>
      </c>
      <c r="F123" s="608">
        <f>J123*Prix!F125/Prix!F$73</f>
        <v>61658.205377614395</v>
      </c>
      <c r="G123" s="606">
        <f t="shared" ref="G123:J125" si="14">G122*(1+O123)</f>
        <v>35588.932755138252</v>
      </c>
      <c r="H123" s="607">
        <f t="shared" si="14"/>
        <v>31764.106654815605</v>
      </c>
      <c r="I123" s="607">
        <f t="shared" si="14"/>
        <v>29440.155398280931</v>
      </c>
      <c r="J123" s="608">
        <f t="shared" si="14"/>
        <v>26262.022791260795</v>
      </c>
      <c r="K123" s="609">
        <f t="shared" si="12"/>
        <v>3.581499999999993E-2</v>
      </c>
      <c r="L123" s="610">
        <f t="shared" si="12"/>
        <v>3.2762499999999806E-2</v>
      </c>
      <c r="M123" s="610">
        <f t="shared" si="11"/>
        <v>3.0727500000000019E-2</v>
      </c>
      <c r="N123" s="611">
        <f t="shared" si="11"/>
        <v>2.7674999999999894E-2</v>
      </c>
      <c r="O123" s="612">
        <v>1.8000000000000002E-2</v>
      </c>
      <c r="P123" s="610">
        <v>1.4999999999999999E-2</v>
      </c>
      <c r="Q123" s="610">
        <v>1.3000000000000001E-2</v>
      </c>
      <c r="R123" s="613">
        <v>0.01</v>
      </c>
    </row>
    <row r="124" spans="2:19" ht="15" customHeight="1" x14ac:dyDescent="0.2">
      <c r="B124" s="605">
        <v>2069</v>
      </c>
      <c r="C124" s="606">
        <f>G124*Prix!C126/Prix!C$73</f>
        <v>86548.564002586179</v>
      </c>
      <c r="D124" s="607">
        <f>H124*Prix!D126/Prix!D$73</f>
        <v>77019.343393453804</v>
      </c>
      <c r="E124" s="607">
        <f>I124*Prix!E126/Prix!E$73</f>
        <v>71243.733011521093</v>
      </c>
      <c r="F124" s="608">
        <f>J124*Prix!F126/Prix!F$73</f>
        <v>63364.596211439886</v>
      </c>
      <c r="G124" s="606">
        <f t="shared" si="14"/>
        <v>36229.533544730744</v>
      </c>
      <c r="H124" s="607">
        <f t="shared" si="14"/>
        <v>32240.568254637838</v>
      </c>
      <c r="I124" s="607">
        <f t="shared" si="14"/>
        <v>29822.877418458582</v>
      </c>
      <c r="J124" s="608">
        <f t="shared" si="14"/>
        <v>26524.643019173403</v>
      </c>
      <c r="K124" s="609">
        <f t="shared" si="12"/>
        <v>3.5815000000000374E-2</v>
      </c>
      <c r="L124" s="610">
        <f t="shared" si="12"/>
        <v>3.2762500000000028E-2</v>
      </c>
      <c r="M124" s="610">
        <f t="shared" si="11"/>
        <v>3.0727500000000019E-2</v>
      </c>
      <c r="N124" s="611">
        <f t="shared" si="11"/>
        <v>2.7675000000000116E-2</v>
      </c>
      <c r="O124" s="612">
        <v>1.8000000000000002E-2</v>
      </c>
      <c r="P124" s="610">
        <v>1.4999999999999999E-2</v>
      </c>
      <c r="Q124" s="610">
        <v>1.3000000000000001E-2</v>
      </c>
      <c r="R124" s="613">
        <v>0.01</v>
      </c>
    </row>
    <row r="125" spans="2:19" ht="15" customHeight="1" thickBot="1" x14ac:dyDescent="0.25">
      <c r="B125" s="614">
        <v>2070</v>
      </c>
      <c r="C125" s="615">
        <f>G125*Prix!C127/Prix!C$73</f>
        <v>89648.300822338802</v>
      </c>
      <c r="D125" s="616">
        <f>H125*Prix!D127/Prix!D$73</f>
        <v>79542.689631381829</v>
      </c>
      <c r="E125" s="616">
        <f>I125*Prix!E127/Prix!E$73</f>
        <v>73432.874817632619</v>
      </c>
      <c r="F125" s="617">
        <f>J125*Prix!F127/Prix!F$73</f>
        <v>65118.211411591496</v>
      </c>
      <c r="G125" s="615">
        <f t="shared" si="14"/>
        <v>36881.665148535896</v>
      </c>
      <c r="H125" s="616">
        <f t="shared" si="14"/>
        <v>32724.1767784574</v>
      </c>
      <c r="I125" s="616">
        <f t="shared" si="14"/>
        <v>30210.57482489854</v>
      </c>
      <c r="J125" s="617">
        <f t="shared" si="14"/>
        <v>26789.889449365139</v>
      </c>
      <c r="K125" s="618">
        <f t="shared" si="12"/>
        <v>3.581499999999993E-2</v>
      </c>
      <c r="L125" s="619">
        <f t="shared" si="12"/>
        <v>3.2762500000000028E-2</v>
      </c>
      <c r="M125" s="619">
        <f t="shared" si="11"/>
        <v>3.0727500000000241E-2</v>
      </c>
      <c r="N125" s="620">
        <f t="shared" si="11"/>
        <v>2.7675000000000116E-2</v>
      </c>
      <c r="O125" s="621">
        <v>1.8000000000000002E-2</v>
      </c>
      <c r="P125" s="619">
        <v>1.4999999999999999E-2</v>
      </c>
      <c r="Q125" s="619">
        <v>1.3000000000000001E-2</v>
      </c>
      <c r="R125" s="622">
        <v>0.01</v>
      </c>
    </row>
    <row r="126" spans="2:19" x14ac:dyDescent="0.2">
      <c r="B126" s="623"/>
    </row>
    <row r="127" spans="2:19" x14ac:dyDescent="0.2">
      <c r="B127" s="623"/>
    </row>
    <row r="128" spans="2:19" x14ac:dyDescent="0.2">
      <c r="B128" s="623"/>
    </row>
    <row r="129" spans="2:2" x14ac:dyDescent="0.2">
      <c r="B129" s="623"/>
    </row>
    <row r="130" spans="2:2" x14ac:dyDescent="0.2">
      <c r="B130" s="623"/>
    </row>
    <row r="131" spans="2:2" x14ac:dyDescent="0.2">
      <c r="B131" s="623"/>
    </row>
    <row r="132" spans="2:2" x14ac:dyDescent="0.2">
      <c r="B132" s="623"/>
    </row>
    <row r="133" spans="2:2" x14ac:dyDescent="0.2">
      <c r="B133" s="623"/>
    </row>
    <row r="134" spans="2:2" x14ac:dyDescent="0.2">
      <c r="B134" s="623"/>
    </row>
    <row r="135" spans="2:2" x14ac:dyDescent="0.2">
      <c r="B135" s="623"/>
    </row>
    <row r="136" spans="2:2" x14ac:dyDescent="0.2">
      <c r="B136" s="623"/>
    </row>
    <row r="137" spans="2:2" x14ac:dyDescent="0.2">
      <c r="B137" s="623"/>
    </row>
    <row r="138" spans="2:2" x14ac:dyDescent="0.2">
      <c r="B138" s="623"/>
    </row>
    <row r="139" spans="2:2" x14ac:dyDescent="0.2">
      <c r="B139" s="623"/>
    </row>
    <row r="140" spans="2:2" x14ac:dyDescent="0.2">
      <c r="B140" s="623"/>
    </row>
  </sheetData>
  <mergeCells count="5">
    <mergeCell ref="B4:B5"/>
    <mergeCell ref="C4:F4"/>
    <mergeCell ref="G4:J4"/>
    <mergeCell ref="K4:N4"/>
    <mergeCell ref="O4:R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T142"/>
  <sheetViews>
    <sheetView topLeftCell="A61" workbookViewId="0">
      <selection activeCell="A22" sqref="A1:XFD1048576"/>
    </sheetView>
  </sheetViews>
  <sheetFormatPr baseColWidth="10" defaultRowHeight="15" x14ac:dyDescent="0.25"/>
  <cols>
    <col min="1" max="1" width="1.85546875" style="372" customWidth="1"/>
    <col min="2" max="2" width="9.7109375" style="372" customWidth="1"/>
    <col min="3" max="10" width="13" style="372" customWidth="1"/>
    <col min="11" max="256" width="11.42578125" style="372"/>
    <col min="257" max="257" width="1.85546875" style="372" customWidth="1"/>
    <col min="258" max="258" width="9.7109375" style="372" customWidth="1"/>
    <col min="259" max="266" width="13" style="372" customWidth="1"/>
    <col min="267" max="512" width="11.42578125" style="372"/>
    <col min="513" max="513" width="1.85546875" style="372" customWidth="1"/>
    <col min="514" max="514" width="9.7109375" style="372" customWidth="1"/>
    <col min="515" max="522" width="13" style="372" customWidth="1"/>
    <col min="523" max="768" width="11.42578125" style="372"/>
    <col min="769" max="769" width="1.85546875" style="372" customWidth="1"/>
    <col min="770" max="770" width="9.7109375" style="372" customWidth="1"/>
    <col min="771" max="778" width="13" style="372" customWidth="1"/>
    <col min="779" max="1024" width="11.42578125" style="372"/>
    <col min="1025" max="1025" width="1.85546875" style="372" customWidth="1"/>
    <col min="1026" max="1026" width="9.7109375" style="372" customWidth="1"/>
    <col min="1027" max="1034" width="13" style="372" customWidth="1"/>
    <col min="1035" max="1280" width="11.42578125" style="372"/>
    <col min="1281" max="1281" width="1.85546875" style="372" customWidth="1"/>
    <col min="1282" max="1282" width="9.7109375" style="372" customWidth="1"/>
    <col min="1283" max="1290" width="13" style="372" customWidth="1"/>
    <col min="1291" max="1536" width="11.42578125" style="372"/>
    <col min="1537" max="1537" width="1.85546875" style="372" customWidth="1"/>
    <col min="1538" max="1538" width="9.7109375" style="372" customWidth="1"/>
    <col min="1539" max="1546" width="13" style="372" customWidth="1"/>
    <col min="1547" max="1792" width="11.42578125" style="372"/>
    <col min="1793" max="1793" width="1.85546875" style="372" customWidth="1"/>
    <col min="1794" max="1794" width="9.7109375" style="372" customWidth="1"/>
    <col min="1795" max="1802" width="13" style="372" customWidth="1"/>
    <col min="1803" max="2048" width="11.42578125" style="372"/>
    <col min="2049" max="2049" width="1.85546875" style="372" customWidth="1"/>
    <col min="2050" max="2050" width="9.7109375" style="372" customWidth="1"/>
    <col min="2051" max="2058" width="13" style="372" customWidth="1"/>
    <col min="2059" max="2304" width="11.42578125" style="372"/>
    <col min="2305" max="2305" width="1.85546875" style="372" customWidth="1"/>
    <col min="2306" max="2306" width="9.7109375" style="372" customWidth="1"/>
    <col min="2307" max="2314" width="13" style="372" customWidth="1"/>
    <col min="2315" max="2560" width="11.42578125" style="372"/>
    <col min="2561" max="2561" width="1.85546875" style="372" customWidth="1"/>
    <col min="2562" max="2562" width="9.7109375" style="372" customWidth="1"/>
    <col min="2563" max="2570" width="13" style="372" customWidth="1"/>
    <col min="2571" max="2816" width="11.42578125" style="372"/>
    <col min="2817" max="2817" width="1.85546875" style="372" customWidth="1"/>
    <col min="2818" max="2818" width="9.7109375" style="372" customWidth="1"/>
    <col min="2819" max="2826" width="13" style="372" customWidth="1"/>
    <col min="2827" max="3072" width="11.42578125" style="372"/>
    <col min="3073" max="3073" width="1.85546875" style="372" customWidth="1"/>
    <col min="3074" max="3074" width="9.7109375" style="372" customWidth="1"/>
    <col min="3075" max="3082" width="13" style="372" customWidth="1"/>
    <col min="3083" max="3328" width="11.42578125" style="372"/>
    <col min="3329" max="3329" width="1.85546875" style="372" customWidth="1"/>
    <col min="3330" max="3330" width="9.7109375" style="372" customWidth="1"/>
    <col min="3331" max="3338" width="13" style="372" customWidth="1"/>
    <col min="3339" max="3584" width="11.42578125" style="372"/>
    <col min="3585" max="3585" width="1.85546875" style="372" customWidth="1"/>
    <col min="3586" max="3586" width="9.7109375" style="372" customWidth="1"/>
    <col min="3587" max="3594" width="13" style="372" customWidth="1"/>
    <col min="3595" max="3840" width="11.42578125" style="372"/>
    <col min="3841" max="3841" width="1.85546875" style="372" customWidth="1"/>
    <col min="3842" max="3842" width="9.7109375" style="372" customWidth="1"/>
    <col min="3843" max="3850" width="13" style="372" customWidth="1"/>
    <col min="3851" max="4096" width="11.42578125" style="372"/>
    <col min="4097" max="4097" width="1.85546875" style="372" customWidth="1"/>
    <col min="4098" max="4098" width="9.7109375" style="372" customWidth="1"/>
    <col min="4099" max="4106" width="13" style="372" customWidth="1"/>
    <col min="4107" max="4352" width="11.42578125" style="372"/>
    <col min="4353" max="4353" width="1.85546875" style="372" customWidth="1"/>
    <col min="4354" max="4354" width="9.7109375" style="372" customWidth="1"/>
    <col min="4355" max="4362" width="13" style="372" customWidth="1"/>
    <col min="4363" max="4608" width="11.42578125" style="372"/>
    <col min="4609" max="4609" width="1.85546875" style="372" customWidth="1"/>
    <col min="4610" max="4610" width="9.7109375" style="372" customWidth="1"/>
    <col min="4611" max="4618" width="13" style="372" customWidth="1"/>
    <col min="4619" max="4864" width="11.42578125" style="372"/>
    <col min="4865" max="4865" width="1.85546875" style="372" customWidth="1"/>
    <col min="4866" max="4866" width="9.7109375" style="372" customWidth="1"/>
    <col min="4867" max="4874" width="13" style="372" customWidth="1"/>
    <col min="4875" max="5120" width="11.42578125" style="372"/>
    <col min="5121" max="5121" width="1.85546875" style="372" customWidth="1"/>
    <col min="5122" max="5122" width="9.7109375" style="372" customWidth="1"/>
    <col min="5123" max="5130" width="13" style="372" customWidth="1"/>
    <col min="5131" max="5376" width="11.42578125" style="372"/>
    <col min="5377" max="5377" width="1.85546875" style="372" customWidth="1"/>
    <col min="5378" max="5378" width="9.7109375" style="372" customWidth="1"/>
    <col min="5379" max="5386" width="13" style="372" customWidth="1"/>
    <col min="5387" max="5632" width="11.42578125" style="372"/>
    <col min="5633" max="5633" width="1.85546875" style="372" customWidth="1"/>
    <col min="5634" max="5634" width="9.7109375" style="372" customWidth="1"/>
    <col min="5635" max="5642" width="13" style="372" customWidth="1"/>
    <col min="5643" max="5888" width="11.42578125" style="372"/>
    <col min="5889" max="5889" width="1.85546875" style="372" customWidth="1"/>
    <col min="5890" max="5890" width="9.7109375" style="372" customWidth="1"/>
    <col min="5891" max="5898" width="13" style="372" customWidth="1"/>
    <col min="5899" max="6144" width="11.42578125" style="372"/>
    <col min="6145" max="6145" width="1.85546875" style="372" customWidth="1"/>
    <col min="6146" max="6146" width="9.7109375" style="372" customWidth="1"/>
    <col min="6147" max="6154" width="13" style="372" customWidth="1"/>
    <col min="6155" max="6400" width="11.42578125" style="372"/>
    <col min="6401" max="6401" width="1.85546875" style="372" customWidth="1"/>
    <col min="6402" max="6402" width="9.7109375" style="372" customWidth="1"/>
    <col min="6403" max="6410" width="13" style="372" customWidth="1"/>
    <col min="6411" max="6656" width="11.42578125" style="372"/>
    <col min="6657" max="6657" width="1.85546875" style="372" customWidth="1"/>
    <col min="6658" max="6658" width="9.7109375" style="372" customWidth="1"/>
    <col min="6659" max="6666" width="13" style="372" customWidth="1"/>
    <col min="6667" max="6912" width="11.42578125" style="372"/>
    <col min="6913" max="6913" width="1.85546875" style="372" customWidth="1"/>
    <col min="6914" max="6914" width="9.7109375" style="372" customWidth="1"/>
    <col min="6915" max="6922" width="13" style="372" customWidth="1"/>
    <col min="6923" max="7168" width="11.42578125" style="372"/>
    <col min="7169" max="7169" width="1.85546875" style="372" customWidth="1"/>
    <col min="7170" max="7170" width="9.7109375" style="372" customWidth="1"/>
    <col min="7171" max="7178" width="13" style="372" customWidth="1"/>
    <col min="7179" max="7424" width="11.42578125" style="372"/>
    <col min="7425" max="7425" width="1.85546875" style="372" customWidth="1"/>
    <col min="7426" max="7426" width="9.7109375" style="372" customWidth="1"/>
    <col min="7427" max="7434" width="13" style="372" customWidth="1"/>
    <col min="7435" max="7680" width="11.42578125" style="372"/>
    <col min="7681" max="7681" width="1.85546875" style="372" customWidth="1"/>
    <col min="7682" max="7682" width="9.7109375" style="372" customWidth="1"/>
    <col min="7683" max="7690" width="13" style="372" customWidth="1"/>
    <col min="7691" max="7936" width="11.42578125" style="372"/>
    <col min="7937" max="7937" width="1.85546875" style="372" customWidth="1"/>
    <col min="7938" max="7938" width="9.7109375" style="372" customWidth="1"/>
    <col min="7939" max="7946" width="13" style="372" customWidth="1"/>
    <col min="7947" max="8192" width="11.42578125" style="372"/>
    <col min="8193" max="8193" width="1.85546875" style="372" customWidth="1"/>
    <col min="8194" max="8194" width="9.7109375" style="372" customWidth="1"/>
    <col min="8195" max="8202" width="13" style="372" customWidth="1"/>
    <col min="8203" max="8448" width="11.42578125" style="372"/>
    <col min="8449" max="8449" width="1.85546875" style="372" customWidth="1"/>
    <col min="8450" max="8450" width="9.7109375" style="372" customWidth="1"/>
    <col min="8451" max="8458" width="13" style="372" customWidth="1"/>
    <col min="8459" max="8704" width="11.42578125" style="372"/>
    <col min="8705" max="8705" width="1.85546875" style="372" customWidth="1"/>
    <col min="8706" max="8706" width="9.7109375" style="372" customWidth="1"/>
    <col min="8707" max="8714" width="13" style="372" customWidth="1"/>
    <col min="8715" max="8960" width="11.42578125" style="372"/>
    <col min="8961" max="8961" width="1.85546875" style="372" customWidth="1"/>
    <col min="8962" max="8962" width="9.7109375" style="372" customWidth="1"/>
    <col min="8963" max="8970" width="13" style="372" customWidth="1"/>
    <col min="8971" max="9216" width="11.42578125" style="372"/>
    <col min="9217" max="9217" width="1.85546875" style="372" customWidth="1"/>
    <col min="9218" max="9218" width="9.7109375" style="372" customWidth="1"/>
    <col min="9219" max="9226" width="13" style="372" customWidth="1"/>
    <col min="9227" max="9472" width="11.42578125" style="372"/>
    <col min="9473" max="9473" width="1.85546875" style="372" customWidth="1"/>
    <col min="9474" max="9474" width="9.7109375" style="372" customWidth="1"/>
    <col min="9475" max="9482" width="13" style="372" customWidth="1"/>
    <col min="9483" max="9728" width="11.42578125" style="372"/>
    <col min="9729" max="9729" width="1.85546875" style="372" customWidth="1"/>
    <col min="9730" max="9730" width="9.7109375" style="372" customWidth="1"/>
    <col min="9731" max="9738" width="13" style="372" customWidth="1"/>
    <col min="9739" max="9984" width="11.42578125" style="372"/>
    <col min="9985" max="9985" width="1.85546875" style="372" customWidth="1"/>
    <col min="9986" max="9986" width="9.7109375" style="372" customWidth="1"/>
    <col min="9987" max="9994" width="13" style="372" customWidth="1"/>
    <col min="9995" max="10240" width="11.42578125" style="372"/>
    <col min="10241" max="10241" width="1.85546875" style="372" customWidth="1"/>
    <col min="10242" max="10242" width="9.7109375" style="372" customWidth="1"/>
    <col min="10243" max="10250" width="13" style="372" customWidth="1"/>
    <col min="10251" max="10496" width="11.42578125" style="372"/>
    <col min="10497" max="10497" width="1.85546875" style="372" customWidth="1"/>
    <col min="10498" max="10498" width="9.7109375" style="372" customWidth="1"/>
    <col min="10499" max="10506" width="13" style="372" customWidth="1"/>
    <col min="10507" max="10752" width="11.42578125" style="372"/>
    <col min="10753" max="10753" width="1.85546875" style="372" customWidth="1"/>
    <col min="10754" max="10754" width="9.7109375" style="372" customWidth="1"/>
    <col min="10755" max="10762" width="13" style="372" customWidth="1"/>
    <col min="10763" max="11008" width="11.42578125" style="372"/>
    <col min="11009" max="11009" width="1.85546875" style="372" customWidth="1"/>
    <col min="11010" max="11010" width="9.7109375" style="372" customWidth="1"/>
    <col min="11011" max="11018" width="13" style="372" customWidth="1"/>
    <col min="11019" max="11264" width="11.42578125" style="372"/>
    <col min="11265" max="11265" width="1.85546875" style="372" customWidth="1"/>
    <col min="11266" max="11266" width="9.7109375" style="372" customWidth="1"/>
    <col min="11267" max="11274" width="13" style="372" customWidth="1"/>
    <col min="11275" max="11520" width="11.42578125" style="372"/>
    <col min="11521" max="11521" width="1.85546875" style="372" customWidth="1"/>
    <col min="11522" max="11522" width="9.7109375" style="372" customWidth="1"/>
    <col min="11523" max="11530" width="13" style="372" customWidth="1"/>
    <col min="11531" max="11776" width="11.42578125" style="372"/>
    <col min="11777" max="11777" width="1.85546875" style="372" customWidth="1"/>
    <col min="11778" max="11778" width="9.7109375" style="372" customWidth="1"/>
    <col min="11779" max="11786" width="13" style="372" customWidth="1"/>
    <col min="11787" max="12032" width="11.42578125" style="372"/>
    <col min="12033" max="12033" width="1.85546875" style="372" customWidth="1"/>
    <col min="12034" max="12034" width="9.7109375" style="372" customWidth="1"/>
    <col min="12035" max="12042" width="13" style="372" customWidth="1"/>
    <col min="12043" max="12288" width="11.42578125" style="372"/>
    <col min="12289" max="12289" width="1.85546875" style="372" customWidth="1"/>
    <col min="12290" max="12290" width="9.7109375" style="372" customWidth="1"/>
    <col min="12291" max="12298" width="13" style="372" customWidth="1"/>
    <col min="12299" max="12544" width="11.42578125" style="372"/>
    <col min="12545" max="12545" width="1.85546875" style="372" customWidth="1"/>
    <col min="12546" max="12546" width="9.7109375" style="372" customWidth="1"/>
    <col min="12547" max="12554" width="13" style="372" customWidth="1"/>
    <col min="12555" max="12800" width="11.42578125" style="372"/>
    <col min="12801" max="12801" width="1.85546875" style="372" customWidth="1"/>
    <col min="12802" max="12802" width="9.7109375" style="372" customWidth="1"/>
    <col min="12803" max="12810" width="13" style="372" customWidth="1"/>
    <col min="12811" max="13056" width="11.42578125" style="372"/>
    <col min="13057" max="13057" width="1.85546875" style="372" customWidth="1"/>
    <col min="13058" max="13058" width="9.7109375" style="372" customWidth="1"/>
    <col min="13059" max="13066" width="13" style="372" customWidth="1"/>
    <col min="13067" max="13312" width="11.42578125" style="372"/>
    <col min="13313" max="13313" width="1.85546875" style="372" customWidth="1"/>
    <col min="13314" max="13314" width="9.7109375" style="372" customWidth="1"/>
    <col min="13315" max="13322" width="13" style="372" customWidth="1"/>
    <col min="13323" max="13568" width="11.42578125" style="372"/>
    <col min="13569" max="13569" width="1.85546875" style="372" customWidth="1"/>
    <col min="13570" max="13570" width="9.7109375" style="372" customWidth="1"/>
    <col min="13571" max="13578" width="13" style="372" customWidth="1"/>
    <col min="13579" max="13824" width="11.42578125" style="372"/>
    <col min="13825" max="13825" width="1.85546875" style="372" customWidth="1"/>
    <col min="13826" max="13826" width="9.7109375" style="372" customWidth="1"/>
    <col min="13827" max="13834" width="13" style="372" customWidth="1"/>
    <col min="13835" max="14080" width="11.42578125" style="372"/>
    <col min="14081" max="14081" width="1.85546875" style="372" customWidth="1"/>
    <col min="14082" max="14082" width="9.7109375" style="372" customWidth="1"/>
    <col min="14083" max="14090" width="13" style="372" customWidth="1"/>
    <col min="14091" max="14336" width="11.42578125" style="372"/>
    <col min="14337" max="14337" width="1.85546875" style="372" customWidth="1"/>
    <col min="14338" max="14338" width="9.7109375" style="372" customWidth="1"/>
    <col min="14339" max="14346" width="13" style="372" customWidth="1"/>
    <col min="14347" max="14592" width="11.42578125" style="372"/>
    <col min="14593" max="14593" width="1.85546875" style="372" customWidth="1"/>
    <col min="14594" max="14594" width="9.7109375" style="372" customWidth="1"/>
    <col min="14595" max="14602" width="13" style="372" customWidth="1"/>
    <col min="14603" max="14848" width="11.42578125" style="372"/>
    <col min="14849" max="14849" width="1.85546875" style="372" customWidth="1"/>
    <col min="14850" max="14850" width="9.7109375" style="372" customWidth="1"/>
    <col min="14851" max="14858" width="13" style="372" customWidth="1"/>
    <col min="14859" max="15104" width="11.42578125" style="372"/>
    <col min="15105" max="15105" width="1.85546875" style="372" customWidth="1"/>
    <col min="15106" max="15106" width="9.7109375" style="372" customWidth="1"/>
    <col min="15107" max="15114" width="13" style="372" customWidth="1"/>
    <col min="15115" max="15360" width="11.42578125" style="372"/>
    <col min="15361" max="15361" width="1.85546875" style="372" customWidth="1"/>
    <col min="15362" max="15362" width="9.7109375" style="372" customWidth="1"/>
    <col min="15363" max="15370" width="13" style="372" customWidth="1"/>
    <col min="15371" max="15616" width="11.42578125" style="372"/>
    <col min="15617" max="15617" width="1.85546875" style="372" customWidth="1"/>
    <col min="15618" max="15618" width="9.7109375" style="372" customWidth="1"/>
    <col min="15619" max="15626" width="13" style="372" customWidth="1"/>
    <col min="15627" max="15872" width="11.42578125" style="372"/>
    <col min="15873" max="15873" width="1.85546875" style="372" customWidth="1"/>
    <col min="15874" max="15874" width="9.7109375" style="372" customWidth="1"/>
    <col min="15875" max="15882" width="13" style="372" customWidth="1"/>
    <col min="15883" max="16128" width="11.42578125" style="372"/>
    <col min="16129" max="16129" width="1.85546875" style="372" customWidth="1"/>
    <col min="16130" max="16130" width="9.7109375" style="372" customWidth="1"/>
    <col min="16131" max="16138" width="13" style="372" customWidth="1"/>
    <col min="16139" max="16384" width="11.42578125" style="372"/>
  </cols>
  <sheetData>
    <row r="1" spans="2:19" x14ac:dyDescent="0.25">
      <c r="B1" s="371" t="s">
        <v>353</v>
      </c>
    </row>
    <row r="2" spans="2:19" x14ac:dyDescent="0.25">
      <c r="B2" s="372" t="s">
        <v>294</v>
      </c>
    </row>
    <row r="3" spans="2:19" ht="15.75" thickBot="1" x14ac:dyDescent="0.3"/>
    <row r="4" spans="2:19" ht="19.5" customHeight="1" x14ac:dyDescent="0.25">
      <c r="B4" s="811" t="s">
        <v>10</v>
      </c>
      <c r="C4" s="839" t="s">
        <v>354</v>
      </c>
      <c r="D4" s="840"/>
      <c r="E4" s="840"/>
      <c r="F4" s="840"/>
      <c r="G4" s="839" t="s">
        <v>355</v>
      </c>
      <c r="H4" s="840"/>
      <c r="I4" s="840"/>
      <c r="J4" s="840"/>
      <c r="K4" s="813" t="s">
        <v>314</v>
      </c>
      <c r="L4" s="814"/>
      <c r="M4" s="814"/>
      <c r="N4" s="814"/>
      <c r="O4" s="813" t="s">
        <v>325</v>
      </c>
      <c r="P4" s="814"/>
      <c r="Q4" s="814"/>
      <c r="R4" s="817"/>
    </row>
    <row r="5" spans="2:19" ht="33" customHeight="1" thickBot="1" x14ac:dyDescent="0.3">
      <c r="B5" s="812"/>
      <c r="C5" s="422" t="s">
        <v>316</v>
      </c>
      <c r="D5" s="420" t="s">
        <v>317</v>
      </c>
      <c r="E5" s="420" t="s">
        <v>318</v>
      </c>
      <c r="F5" s="420" t="s">
        <v>319</v>
      </c>
      <c r="G5" s="422" t="s">
        <v>316</v>
      </c>
      <c r="H5" s="420" t="s">
        <v>317</v>
      </c>
      <c r="I5" s="420" t="s">
        <v>318</v>
      </c>
      <c r="J5" s="420" t="s">
        <v>319</v>
      </c>
      <c r="K5" s="422" t="s">
        <v>316</v>
      </c>
      <c r="L5" s="420" t="s">
        <v>317</v>
      </c>
      <c r="M5" s="420" t="s">
        <v>318</v>
      </c>
      <c r="N5" s="420" t="s">
        <v>319</v>
      </c>
      <c r="O5" s="422" t="s">
        <v>316</v>
      </c>
      <c r="P5" s="420" t="s">
        <v>317</v>
      </c>
      <c r="Q5" s="420" t="s">
        <v>318</v>
      </c>
      <c r="R5" s="423" t="s">
        <v>319</v>
      </c>
    </row>
    <row r="6" spans="2:19" ht="15" customHeight="1" x14ac:dyDescent="0.25">
      <c r="B6" s="624">
        <v>1949</v>
      </c>
      <c r="C6" s="625">
        <v>393.59412570916726</v>
      </c>
      <c r="D6" s="626">
        <f>C6</f>
        <v>393.59412570916726</v>
      </c>
      <c r="E6" s="626">
        <f>D6</f>
        <v>393.59412570916726</v>
      </c>
      <c r="F6" s="627">
        <f>E6</f>
        <v>393.59412570916726</v>
      </c>
      <c r="G6" s="628">
        <f>C6*Prix!C$73/Prix!C6</f>
        <v>7933.6538256628537</v>
      </c>
      <c r="H6" s="626">
        <f>D6*Prix!D$73/Prix!D6</f>
        <v>7933.6538256628537</v>
      </c>
      <c r="I6" s="626">
        <f>E6*Prix!E$73/Prix!E6</f>
        <v>7933.6538256628537</v>
      </c>
      <c r="J6" s="627">
        <f>F6*Prix!F$73/Prix!F6</f>
        <v>7933.6538256628537</v>
      </c>
      <c r="K6" s="629"/>
      <c r="L6" s="630"/>
      <c r="M6" s="630"/>
      <c r="N6" s="630"/>
      <c r="O6" s="631"/>
      <c r="P6" s="632"/>
      <c r="Q6" s="632"/>
      <c r="R6" s="633"/>
      <c r="S6" s="480"/>
    </row>
    <row r="7" spans="2:19" ht="15" customHeight="1" x14ac:dyDescent="0.25">
      <c r="B7" s="624">
        <v>1950</v>
      </c>
      <c r="C7" s="625">
        <v>402.46540550676343</v>
      </c>
      <c r="D7" s="626">
        <f t="shared" ref="D7:F22" si="0">C7</f>
        <v>402.46540550676343</v>
      </c>
      <c r="E7" s="626">
        <f t="shared" si="0"/>
        <v>402.46540550676343</v>
      </c>
      <c r="F7" s="626">
        <f t="shared" si="0"/>
        <v>402.46540550676343</v>
      </c>
      <c r="G7" s="628">
        <f>C7*Prix!C$73/Prix!C7</f>
        <v>7370.9294924437963</v>
      </c>
      <c r="H7" s="626">
        <f>D7*Prix!D$73/Prix!D7</f>
        <v>7370.9294924437963</v>
      </c>
      <c r="I7" s="626">
        <f>E7*Prix!E$73/Prix!E7</f>
        <v>7370.9294924437963</v>
      </c>
      <c r="J7" s="626">
        <f>F7*Prix!F$73/Prix!F7</f>
        <v>7370.9294924437963</v>
      </c>
      <c r="K7" s="478">
        <f t="shared" ref="K7:R38" si="1">C7/C6-1</f>
        <v>2.2539157010059929E-2</v>
      </c>
      <c r="L7" s="438">
        <f t="shared" si="1"/>
        <v>2.2539157010059929E-2</v>
      </c>
      <c r="M7" s="438">
        <f t="shared" si="1"/>
        <v>2.2539157010059929E-2</v>
      </c>
      <c r="N7" s="438">
        <f t="shared" si="1"/>
        <v>2.2539157010059929E-2</v>
      </c>
      <c r="O7" s="478">
        <f t="shared" si="1"/>
        <v>-7.0928773246801247E-2</v>
      </c>
      <c r="P7" s="438">
        <f t="shared" si="1"/>
        <v>-7.0928773246801247E-2</v>
      </c>
      <c r="Q7" s="438">
        <f t="shared" si="1"/>
        <v>-7.0928773246801247E-2</v>
      </c>
      <c r="R7" s="439">
        <f t="shared" si="1"/>
        <v>-7.0928773246801247E-2</v>
      </c>
      <c r="S7" s="480"/>
    </row>
    <row r="8" spans="2:19" ht="15" customHeight="1" x14ac:dyDescent="0.25">
      <c r="B8" s="624">
        <v>1951</v>
      </c>
      <c r="C8" s="625">
        <v>526.21224064950297</v>
      </c>
      <c r="D8" s="626">
        <f t="shared" si="0"/>
        <v>526.21224064950297</v>
      </c>
      <c r="E8" s="626">
        <f t="shared" si="0"/>
        <v>526.21224064950297</v>
      </c>
      <c r="F8" s="626">
        <f t="shared" si="0"/>
        <v>526.21224064950297</v>
      </c>
      <c r="G8" s="628">
        <f>C8*Prix!C$73/Prix!C8</f>
        <v>8301.7231918531052</v>
      </c>
      <c r="H8" s="626">
        <f>D8*Prix!D$73/Prix!D8</f>
        <v>8301.7231918531052</v>
      </c>
      <c r="I8" s="626">
        <f>E8*Prix!E$73/Prix!E8</f>
        <v>8301.7231918531052</v>
      </c>
      <c r="J8" s="626">
        <f>F8*Prix!F$73/Prix!F8</f>
        <v>8301.7231918531052</v>
      </c>
      <c r="K8" s="478">
        <f t="shared" si="1"/>
        <v>0.30747198007471965</v>
      </c>
      <c r="L8" s="438">
        <f t="shared" si="1"/>
        <v>0.30747198007471965</v>
      </c>
      <c r="M8" s="438">
        <f t="shared" si="1"/>
        <v>0.30747198007471965</v>
      </c>
      <c r="N8" s="438">
        <f t="shared" si="1"/>
        <v>0.30747198007471965</v>
      </c>
      <c r="O8" s="478">
        <f t="shared" si="1"/>
        <v>0.12627901275727837</v>
      </c>
      <c r="P8" s="438">
        <f t="shared" si="1"/>
        <v>0.12627901275727837</v>
      </c>
      <c r="Q8" s="438">
        <f t="shared" si="1"/>
        <v>0.12627901275727837</v>
      </c>
      <c r="R8" s="439">
        <f t="shared" si="1"/>
        <v>0.12627901275727837</v>
      </c>
      <c r="S8" s="480"/>
    </row>
    <row r="9" spans="2:19" ht="15" customHeight="1" x14ac:dyDescent="0.25">
      <c r="B9" s="389">
        <v>1952</v>
      </c>
      <c r="C9" s="474">
        <v>676.97360310278248</v>
      </c>
      <c r="D9" s="475">
        <f t="shared" si="0"/>
        <v>676.97360310278248</v>
      </c>
      <c r="E9" s="475">
        <f t="shared" si="0"/>
        <v>676.97360310278248</v>
      </c>
      <c r="F9" s="475">
        <f t="shared" si="0"/>
        <v>676.97360310278248</v>
      </c>
      <c r="G9" s="477">
        <f>C9*Prix!C$73/Prix!C9</f>
        <v>9538.5675891472238</v>
      </c>
      <c r="H9" s="475">
        <f>D9*Prix!D$73/Prix!D9</f>
        <v>9538.5675891472238</v>
      </c>
      <c r="I9" s="475">
        <f>E9*Prix!E$73/Prix!E9</f>
        <v>9538.5675891472238</v>
      </c>
      <c r="J9" s="475">
        <f>F9*Prix!F$73/Prix!F9</f>
        <v>9538.5675891472238</v>
      </c>
      <c r="K9" s="478">
        <f t="shared" si="1"/>
        <v>0.28650295604525455</v>
      </c>
      <c r="L9" s="438">
        <f t="shared" si="1"/>
        <v>0.28650295604525455</v>
      </c>
      <c r="M9" s="438">
        <f t="shared" si="1"/>
        <v>0.28650295604525455</v>
      </c>
      <c r="N9" s="438">
        <f t="shared" si="1"/>
        <v>0.28650295604525455</v>
      </c>
      <c r="O9" s="478">
        <f t="shared" si="1"/>
        <v>0.14898646566629625</v>
      </c>
      <c r="P9" s="438">
        <f t="shared" si="1"/>
        <v>0.14898646566629625</v>
      </c>
      <c r="Q9" s="438">
        <f t="shared" si="1"/>
        <v>0.14898646566629625</v>
      </c>
      <c r="R9" s="439">
        <f t="shared" si="1"/>
        <v>0.14898646566629625</v>
      </c>
      <c r="S9" s="480"/>
    </row>
    <row r="10" spans="2:19" ht="15" customHeight="1" x14ac:dyDescent="0.25">
      <c r="B10" s="389">
        <v>1953</v>
      </c>
      <c r="C10" s="474">
        <v>695.16751860259137</v>
      </c>
      <c r="D10" s="475">
        <f t="shared" si="0"/>
        <v>695.16751860259137</v>
      </c>
      <c r="E10" s="475">
        <f t="shared" si="0"/>
        <v>695.16751860259137</v>
      </c>
      <c r="F10" s="475">
        <f t="shared" si="0"/>
        <v>695.16751860259137</v>
      </c>
      <c r="G10" s="477">
        <f>C10*Prix!C$73/Prix!C10</f>
        <v>9963.0732494431486</v>
      </c>
      <c r="H10" s="475">
        <f>D10*Prix!D$73/Prix!D10</f>
        <v>9963.0732494431486</v>
      </c>
      <c r="I10" s="475">
        <f>E10*Prix!E$73/Prix!E10</f>
        <v>9963.0732494431486</v>
      </c>
      <c r="J10" s="475">
        <f>F10*Prix!F$73/Prix!F10</f>
        <v>9963.0732494431486</v>
      </c>
      <c r="K10" s="478">
        <f t="shared" si="1"/>
        <v>2.6875369167158825E-2</v>
      </c>
      <c r="L10" s="438">
        <f t="shared" si="1"/>
        <v>2.6875369167158825E-2</v>
      </c>
      <c r="M10" s="438">
        <f t="shared" si="1"/>
        <v>2.6875369167158825E-2</v>
      </c>
      <c r="N10" s="438">
        <f t="shared" si="1"/>
        <v>2.6875369167158825E-2</v>
      </c>
      <c r="O10" s="478">
        <f t="shared" si="1"/>
        <v>4.4504130869599035E-2</v>
      </c>
      <c r="P10" s="438">
        <f t="shared" si="1"/>
        <v>4.4504130869599035E-2</v>
      </c>
      <c r="Q10" s="438">
        <f t="shared" si="1"/>
        <v>4.4504130869599035E-2</v>
      </c>
      <c r="R10" s="439">
        <f t="shared" si="1"/>
        <v>4.4504130869599035E-2</v>
      </c>
      <c r="S10" s="480"/>
    </row>
    <row r="11" spans="2:19" ht="15" customHeight="1" x14ac:dyDescent="0.25">
      <c r="B11" s="389">
        <v>1954</v>
      </c>
      <c r="C11" s="474">
        <v>695.16751860259137</v>
      </c>
      <c r="D11" s="475">
        <f t="shared" si="0"/>
        <v>695.16751860259137</v>
      </c>
      <c r="E11" s="475">
        <f t="shared" si="0"/>
        <v>695.16751860259137</v>
      </c>
      <c r="F11" s="475">
        <f t="shared" si="0"/>
        <v>695.16751860259137</v>
      </c>
      <c r="G11" s="477">
        <f>C11*Prix!C$73/Prix!C11</f>
        <v>9920.4960133344175</v>
      </c>
      <c r="H11" s="475">
        <f>D11*Prix!D$73/Prix!D11</f>
        <v>9920.4960133344175</v>
      </c>
      <c r="I11" s="475">
        <f>E11*Prix!E$73/Prix!E11</f>
        <v>9920.4960133344175</v>
      </c>
      <c r="J11" s="475">
        <f>F11*Prix!F$73/Prix!F11</f>
        <v>9920.4960133344175</v>
      </c>
      <c r="K11" s="478">
        <f t="shared" si="1"/>
        <v>0</v>
      </c>
      <c r="L11" s="438">
        <f t="shared" si="1"/>
        <v>0</v>
      </c>
      <c r="M11" s="438">
        <f t="shared" si="1"/>
        <v>0</v>
      </c>
      <c r="N11" s="438">
        <f t="shared" si="1"/>
        <v>0</v>
      </c>
      <c r="O11" s="478">
        <f t="shared" si="1"/>
        <v>-4.2735042735042583E-3</v>
      </c>
      <c r="P11" s="438">
        <f t="shared" si="1"/>
        <v>-4.2735042735042583E-3</v>
      </c>
      <c r="Q11" s="438">
        <f t="shared" si="1"/>
        <v>-4.2735042735042583E-3</v>
      </c>
      <c r="R11" s="439">
        <f t="shared" si="1"/>
        <v>-4.2735042735042583E-3</v>
      </c>
      <c r="S11" s="480"/>
    </row>
    <row r="12" spans="2:19" ht="15" customHeight="1" x14ac:dyDescent="0.25">
      <c r="B12" s="389">
        <v>1955</v>
      </c>
      <c r="C12" s="474">
        <v>722.83388271712852</v>
      </c>
      <c r="D12" s="475">
        <f t="shared" si="0"/>
        <v>722.83388271712852</v>
      </c>
      <c r="E12" s="475">
        <f t="shared" si="0"/>
        <v>722.83388271712852</v>
      </c>
      <c r="F12" s="475">
        <f t="shared" si="0"/>
        <v>722.83388271712852</v>
      </c>
      <c r="G12" s="477">
        <f>C12*Prix!C$73/Prix!C12</f>
        <v>10213.469445783066</v>
      </c>
      <c r="H12" s="475">
        <f>D12*Prix!D$73/Prix!D12</f>
        <v>10213.469445783066</v>
      </c>
      <c r="I12" s="475">
        <f>E12*Prix!E$73/Prix!E12</f>
        <v>10213.469445783066</v>
      </c>
      <c r="J12" s="475">
        <f>F12*Prix!F$73/Prix!F12</f>
        <v>10213.469445783066</v>
      </c>
      <c r="K12" s="478">
        <f t="shared" si="1"/>
        <v>3.9798125450612787E-2</v>
      </c>
      <c r="L12" s="438">
        <f t="shared" si="1"/>
        <v>3.9798125450612787E-2</v>
      </c>
      <c r="M12" s="438">
        <f t="shared" si="1"/>
        <v>3.9798125450612787E-2</v>
      </c>
      <c r="N12" s="438">
        <f t="shared" si="1"/>
        <v>3.9798125450612787E-2</v>
      </c>
      <c r="O12" s="478">
        <f t="shared" si="1"/>
        <v>2.9532135495529133E-2</v>
      </c>
      <c r="P12" s="438">
        <f t="shared" si="1"/>
        <v>2.9532135495529133E-2</v>
      </c>
      <c r="Q12" s="438">
        <f t="shared" si="1"/>
        <v>2.9532135495529133E-2</v>
      </c>
      <c r="R12" s="439">
        <f t="shared" si="1"/>
        <v>2.9532135495529133E-2</v>
      </c>
      <c r="S12" s="480"/>
    </row>
    <row r="13" spans="2:19" ht="15" customHeight="1" x14ac:dyDescent="0.25">
      <c r="B13" s="389">
        <v>1956</v>
      </c>
      <c r="C13" s="474">
        <v>804.93081101352686</v>
      </c>
      <c r="D13" s="475">
        <f t="shared" si="0"/>
        <v>804.93081101352686</v>
      </c>
      <c r="E13" s="475">
        <f t="shared" si="0"/>
        <v>804.93081101352686</v>
      </c>
      <c r="F13" s="475">
        <f t="shared" si="0"/>
        <v>804.93081101352686</v>
      </c>
      <c r="G13" s="477">
        <f>C13*Prix!C$73/Prix!C13</f>
        <v>10926.554017254082</v>
      </c>
      <c r="H13" s="475">
        <f>D13*Prix!D$73/Prix!D13</f>
        <v>10926.554017254082</v>
      </c>
      <c r="I13" s="475">
        <f>E13*Prix!E$73/Prix!E13</f>
        <v>10926.554017254082</v>
      </c>
      <c r="J13" s="475">
        <f>F13*Prix!F$73/Prix!F13</f>
        <v>10926.554017254082</v>
      </c>
      <c r="K13" s="478">
        <f t="shared" si="1"/>
        <v>0.11357648037720147</v>
      </c>
      <c r="L13" s="438">
        <f t="shared" si="1"/>
        <v>0.11357648037720147</v>
      </c>
      <c r="M13" s="438">
        <f t="shared" si="1"/>
        <v>0.11357648037720147</v>
      </c>
      <c r="N13" s="438">
        <f t="shared" si="1"/>
        <v>0.11357648037720147</v>
      </c>
      <c r="O13" s="478">
        <f t="shared" si="1"/>
        <v>6.9818054996525492E-2</v>
      </c>
      <c r="P13" s="438">
        <f t="shared" si="1"/>
        <v>6.9818054996525492E-2</v>
      </c>
      <c r="Q13" s="438">
        <f t="shared" si="1"/>
        <v>6.9818054996525492E-2</v>
      </c>
      <c r="R13" s="439">
        <f t="shared" si="1"/>
        <v>6.9818054996525492E-2</v>
      </c>
      <c r="S13" s="480"/>
    </row>
    <row r="14" spans="2:19" ht="15" customHeight="1" x14ac:dyDescent="0.25">
      <c r="B14" s="389">
        <v>1957</v>
      </c>
      <c r="C14" s="474">
        <v>804.93081101352686</v>
      </c>
      <c r="D14" s="475">
        <f t="shared" si="0"/>
        <v>804.93081101352686</v>
      </c>
      <c r="E14" s="475">
        <f t="shared" si="0"/>
        <v>804.93081101352686</v>
      </c>
      <c r="F14" s="475">
        <f t="shared" si="0"/>
        <v>804.93081101352686</v>
      </c>
      <c r="G14" s="477">
        <f>C14*Prix!C$73/Prix!C14</f>
        <v>10596.316510819333</v>
      </c>
      <c r="H14" s="475">
        <f>D14*Prix!D$73/Prix!D14</f>
        <v>10596.316510819333</v>
      </c>
      <c r="I14" s="475">
        <f>E14*Prix!E$73/Prix!E14</f>
        <v>10596.316510819333</v>
      </c>
      <c r="J14" s="475">
        <f>F14*Prix!F$73/Prix!F14</f>
        <v>10596.316510819333</v>
      </c>
      <c r="K14" s="478">
        <f t="shared" si="1"/>
        <v>0</v>
      </c>
      <c r="L14" s="438">
        <f t="shared" si="1"/>
        <v>0</v>
      </c>
      <c r="M14" s="438">
        <f t="shared" si="1"/>
        <v>0</v>
      </c>
      <c r="N14" s="438">
        <f t="shared" si="1"/>
        <v>0</v>
      </c>
      <c r="O14" s="478">
        <f t="shared" si="1"/>
        <v>-3.0223390275952666E-2</v>
      </c>
      <c r="P14" s="438">
        <f t="shared" si="1"/>
        <v>-3.0223390275952666E-2</v>
      </c>
      <c r="Q14" s="438">
        <f t="shared" si="1"/>
        <v>-3.0223390275952666E-2</v>
      </c>
      <c r="R14" s="439">
        <f t="shared" si="1"/>
        <v>-3.0223390275952666E-2</v>
      </c>
      <c r="S14" s="480"/>
    </row>
    <row r="15" spans="2:19" ht="15" customHeight="1" x14ac:dyDescent="0.25">
      <c r="B15" s="389">
        <v>1958</v>
      </c>
      <c r="C15" s="474">
        <v>914.69410342446224</v>
      </c>
      <c r="D15" s="475">
        <f t="shared" si="0"/>
        <v>914.69410342446224</v>
      </c>
      <c r="E15" s="475">
        <f t="shared" si="0"/>
        <v>914.69410342446224</v>
      </c>
      <c r="F15" s="475">
        <f t="shared" si="0"/>
        <v>914.69410342446224</v>
      </c>
      <c r="G15" s="477">
        <f>C15*Prix!C$73/Prix!C15</f>
        <v>10472.463460692872</v>
      </c>
      <c r="H15" s="475">
        <f>D15*Prix!D$73/Prix!D15</f>
        <v>10472.463460692872</v>
      </c>
      <c r="I15" s="475">
        <f>E15*Prix!E$73/Prix!E15</f>
        <v>10472.463460692872</v>
      </c>
      <c r="J15" s="475">
        <f>F15*Prix!F$73/Prix!F15</f>
        <v>10472.463460692872</v>
      </c>
      <c r="K15" s="478">
        <f t="shared" si="1"/>
        <v>0.13636363636363624</v>
      </c>
      <c r="L15" s="438">
        <f t="shared" si="1"/>
        <v>0.13636363636363624</v>
      </c>
      <c r="M15" s="438">
        <f t="shared" si="1"/>
        <v>0.13636363636363624</v>
      </c>
      <c r="N15" s="438">
        <f t="shared" si="1"/>
        <v>0.13636363636363624</v>
      </c>
      <c r="O15" s="478">
        <f t="shared" si="1"/>
        <v>-1.1688311688311859E-2</v>
      </c>
      <c r="P15" s="438">
        <f t="shared" si="1"/>
        <v>-1.1688311688311859E-2</v>
      </c>
      <c r="Q15" s="438">
        <f t="shared" si="1"/>
        <v>-1.1688311688311859E-2</v>
      </c>
      <c r="R15" s="439">
        <f t="shared" si="1"/>
        <v>-1.1688311688311859E-2</v>
      </c>
      <c r="S15" s="480"/>
    </row>
    <row r="16" spans="2:19" ht="15" customHeight="1" x14ac:dyDescent="0.25">
      <c r="B16" s="389">
        <v>1959</v>
      </c>
      <c r="C16" s="474">
        <v>1006.1635137669085</v>
      </c>
      <c r="D16" s="475">
        <f t="shared" si="0"/>
        <v>1006.1635137669085</v>
      </c>
      <c r="E16" s="475">
        <f t="shared" si="0"/>
        <v>1006.1635137669085</v>
      </c>
      <c r="F16" s="475">
        <f t="shared" si="0"/>
        <v>1006.1635137669085</v>
      </c>
      <c r="G16" s="477">
        <f>C16*Prix!C$73/Prix!C16</f>
        <v>10850.103424022487</v>
      </c>
      <c r="H16" s="475">
        <f>D16*Prix!D$73/Prix!D16</f>
        <v>10850.103424022487</v>
      </c>
      <c r="I16" s="475">
        <f>E16*Prix!E$73/Prix!E16</f>
        <v>10850.103424022487</v>
      </c>
      <c r="J16" s="475">
        <f>F16*Prix!F$73/Prix!F16</f>
        <v>10850.103424022487</v>
      </c>
      <c r="K16" s="478">
        <f t="shared" si="1"/>
        <v>0.10000000000000009</v>
      </c>
      <c r="L16" s="438">
        <f t="shared" si="1"/>
        <v>0.10000000000000009</v>
      </c>
      <c r="M16" s="438">
        <f t="shared" si="1"/>
        <v>0.10000000000000009</v>
      </c>
      <c r="N16" s="438">
        <f t="shared" si="1"/>
        <v>0.10000000000000009</v>
      </c>
      <c r="O16" s="478">
        <f t="shared" si="1"/>
        <v>3.6060279870828937E-2</v>
      </c>
      <c r="P16" s="438">
        <f t="shared" si="1"/>
        <v>3.6060279870828937E-2</v>
      </c>
      <c r="Q16" s="438">
        <f t="shared" si="1"/>
        <v>3.6060279870828937E-2</v>
      </c>
      <c r="R16" s="439">
        <f t="shared" si="1"/>
        <v>3.6060279870828937E-2</v>
      </c>
      <c r="S16" s="480"/>
    </row>
    <row r="17" spans="2:19" ht="15" customHeight="1" x14ac:dyDescent="0.25">
      <c r="B17" s="389">
        <v>1960</v>
      </c>
      <c r="C17" s="474">
        <v>1042.9512110412475</v>
      </c>
      <c r="D17" s="475">
        <f t="shared" si="0"/>
        <v>1042.9512110412475</v>
      </c>
      <c r="E17" s="475">
        <f t="shared" si="0"/>
        <v>1042.9512110412475</v>
      </c>
      <c r="F17" s="475">
        <f t="shared" si="0"/>
        <v>1042.9512110412475</v>
      </c>
      <c r="G17" s="477">
        <f>C17*Prix!C$73/Prix!C17</f>
        <v>10849.725059409362</v>
      </c>
      <c r="H17" s="475">
        <f>D17*Prix!D$73/Prix!D17</f>
        <v>10849.725059409362</v>
      </c>
      <c r="I17" s="475">
        <f>E17*Prix!E$73/Prix!E17</f>
        <v>10849.725059409362</v>
      </c>
      <c r="J17" s="475">
        <f>F17*Prix!F$73/Prix!F17</f>
        <v>10849.725059409362</v>
      </c>
      <c r="K17" s="478">
        <f t="shared" si="1"/>
        <v>3.6562344759065946E-2</v>
      </c>
      <c r="L17" s="438">
        <f t="shared" si="1"/>
        <v>3.6562344759065946E-2</v>
      </c>
      <c r="M17" s="438">
        <f t="shared" si="1"/>
        <v>3.6562344759065946E-2</v>
      </c>
      <c r="N17" s="438">
        <f t="shared" si="1"/>
        <v>3.6562344759065946E-2</v>
      </c>
      <c r="O17" s="478">
        <f t="shared" si="1"/>
        <v>-3.4871982168116489E-5</v>
      </c>
      <c r="P17" s="438">
        <f t="shared" si="1"/>
        <v>-3.4871982168116489E-5</v>
      </c>
      <c r="Q17" s="438">
        <f t="shared" si="1"/>
        <v>-3.4871982168116489E-5</v>
      </c>
      <c r="R17" s="439">
        <f t="shared" si="1"/>
        <v>-3.4871982168116489E-5</v>
      </c>
      <c r="S17" s="480"/>
    </row>
    <row r="18" spans="2:19" ht="15" customHeight="1" x14ac:dyDescent="0.25">
      <c r="B18" s="389">
        <v>1961</v>
      </c>
      <c r="C18" s="474">
        <v>1235.4635424335888</v>
      </c>
      <c r="D18" s="475">
        <f t="shared" si="0"/>
        <v>1235.4635424335888</v>
      </c>
      <c r="E18" s="475">
        <f t="shared" si="0"/>
        <v>1235.4635424335888</v>
      </c>
      <c r="F18" s="475">
        <f t="shared" si="0"/>
        <v>1235.4635424335888</v>
      </c>
      <c r="G18" s="477">
        <f>C18*Prix!C$73/Prix!C18</f>
        <v>12439.069113668034</v>
      </c>
      <c r="H18" s="475">
        <f>D18*Prix!D$73/Prix!D18</f>
        <v>12439.069113668034</v>
      </c>
      <c r="I18" s="475">
        <f>E18*Prix!E$73/Prix!E18</f>
        <v>12439.069113668034</v>
      </c>
      <c r="J18" s="475">
        <f>F18*Prix!F$73/Prix!F18</f>
        <v>12439.069113668034</v>
      </c>
      <c r="K18" s="478">
        <f t="shared" si="1"/>
        <v>0.18458421578526529</v>
      </c>
      <c r="L18" s="438">
        <f t="shared" si="1"/>
        <v>0.18458421578526529</v>
      </c>
      <c r="M18" s="438">
        <f t="shared" si="1"/>
        <v>0.18458421578526529</v>
      </c>
      <c r="N18" s="438">
        <f t="shared" si="1"/>
        <v>0.18458421578526529</v>
      </c>
      <c r="O18" s="478">
        <f t="shared" si="1"/>
        <v>0.14648703497609117</v>
      </c>
      <c r="P18" s="438">
        <f t="shared" si="1"/>
        <v>0.14648703497609117</v>
      </c>
      <c r="Q18" s="438">
        <f t="shared" si="1"/>
        <v>0.14648703497609117</v>
      </c>
      <c r="R18" s="439">
        <f t="shared" si="1"/>
        <v>0.14648703497609117</v>
      </c>
      <c r="S18" s="480"/>
    </row>
    <row r="19" spans="2:19" ht="15" customHeight="1" x14ac:dyDescent="0.25">
      <c r="B19" s="389">
        <v>1962</v>
      </c>
      <c r="C19" s="474">
        <v>1463.5105654791396</v>
      </c>
      <c r="D19" s="475">
        <f t="shared" si="0"/>
        <v>1463.5105654791396</v>
      </c>
      <c r="E19" s="475">
        <f t="shared" si="0"/>
        <v>1463.5105654791396</v>
      </c>
      <c r="F19" s="475">
        <f t="shared" si="0"/>
        <v>1463.5105654791396</v>
      </c>
      <c r="G19" s="477">
        <f>C19*Prix!C$73/Prix!C19</f>
        <v>14070.48833490405</v>
      </c>
      <c r="H19" s="475">
        <f>D19*Prix!D$73/Prix!D19</f>
        <v>14070.48833490405</v>
      </c>
      <c r="I19" s="475">
        <f>E19*Prix!E$73/Prix!E19</f>
        <v>14070.48833490405</v>
      </c>
      <c r="J19" s="475">
        <f>F19*Prix!F$73/Prix!F19</f>
        <v>14070.48833490405</v>
      </c>
      <c r="K19" s="478">
        <f t="shared" si="1"/>
        <v>0.18458417849898567</v>
      </c>
      <c r="L19" s="438">
        <f t="shared" si="1"/>
        <v>0.18458417849898567</v>
      </c>
      <c r="M19" s="438">
        <f t="shared" si="1"/>
        <v>0.18458417849898567</v>
      </c>
      <c r="N19" s="438">
        <f t="shared" si="1"/>
        <v>0.18458417849898567</v>
      </c>
      <c r="O19" s="478">
        <f t="shared" si="1"/>
        <v>0.13115283839394487</v>
      </c>
      <c r="P19" s="438">
        <f t="shared" si="1"/>
        <v>0.13115283839394487</v>
      </c>
      <c r="Q19" s="438">
        <f t="shared" si="1"/>
        <v>0.13115283839394487</v>
      </c>
      <c r="R19" s="439">
        <f t="shared" si="1"/>
        <v>0.13115283839394487</v>
      </c>
      <c r="S19" s="480"/>
    </row>
    <row r="20" spans="2:19" ht="15" customHeight="1" x14ac:dyDescent="0.25">
      <c r="B20" s="389">
        <v>1963</v>
      </c>
      <c r="C20" s="474">
        <v>1591.5677399585643</v>
      </c>
      <c r="D20" s="475">
        <f t="shared" si="0"/>
        <v>1591.5677399585643</v>
      </c>
      <c r="E20" s="475">
        <f t="shared" si="0"/>
        <v>1591.5677399585643</v>
      </c>
      <c r="F20" s="475">
        <f t="shared" si="0"/>
        <v>1591.5677399585643</v>
      </c>
      <c r="G20" s="477">
        <f>C20*Prix!C$73/Prix!C20</f>
        <v>14601.030786542946</v>
      </c>
      <c r="H20" s="475">
        <f>D20*Prix!D$73/Prix!D20</f>
        <v>14601.030786542946</v>
      </c>
      <c r="I20" s="475">
        <f>E20*Prix!E$73/Prix!E20</f>
        <v>14601.030786542946</v>
      </c>
      <c r="J20" s="475">
        <f>F20*Prix!F$73/Prix!F20</f>
        <v>14601.030786542946</v>
      </c>
      <c r="K20" s="478">
        <f t="shared" si="1"/>
        <v>8.7499999999999911E-2</v>
      </c>
      <c r="L20" s="438">
        <f t="shared" si="1"/>
        <v>8.7499999999999911E-2</v>
      </c>
      <c r="M20" s="438">
        <f t="shared" si="1"/>
        <v>8.7499999999999911E-2</v>
      </c>
      <c r="N20" s="438">
        <f t="shared" si="1"/>
        <v>8.7499999999999911E-2</v>
      </c>
      <c r="O20" s="478">
        <f t="shared" si="1"/>
        <v>3.7706043956043933E-2</v>
      </c>
      <c r="P20" s="438">
        <f t="shared" si="1"/>
        <v>3.7706043956043933E-2</v>
      </c>
      <c r="Q20" s="438">
        <f t="shared" si="1"/>
        <v>3.7706043956043933E-2</v>
      </c>
      <c r="R20" s="439">
        <f t="shared" si="1"/>
        <v>3.7706043956043933E-2</v>
      </c>
      <c r="S20" s="480"/>
    </row>
    <row r="21" spans="2:19" ht="15" customHeight="1" x14ac:dyDescent="0.25">
      <c r="B21" s="389">
        <v>1964</v>
      </c>
      <c r="C21" s="474">
        <v>1737.9187965064784</v>
      </c>
      <c r="D21" s="475">
        <f t="shared" si="0"/>
        <v>1737.9187965064784</v>
      </c>
      <c r="E21" s="475">
        <f t="shared" si="0"/>
        <v>1737.9187965064784</v>
      </c>
      <c r="F21" s="475">
        <f t="shared" si="0"/>
        <v>1737.9187965064784</v>
      </c>
      <c r="G21" s="477">
        <f>C21*Prix!C$73/Prix!C21</f>
        <v>15407.496020709646</v>
      </c>
      <c r="H21" s="475">
        <f>D21*Prix!D$73/Prix!D21</f>
        <v>15407.496020709646</v>
      </c>
      <c r="I21" s="475">
        <f>E21*Prix!E$73/Prix!E21</f>
        <v>15407.496020709646</v>
      </c>
      <c r="J21" s="475">
        <f>F21*Prix!F$73/Prix!F21</f>
        <v>15407.496020709646</v>
      </c>
      <c r="K21" s="478">
        <f t="shared" si="1"/>
        <v>9.1954022988505857E-2</v>
      </c>
      <c r="L21" s="438">
        <f t="shared" si="1"/>
        <v>9.1954022988505857E-2</v>
      </c>
      <c r="M21" s="438">
        <f t="shared" si="1"/>
        <v>9.1954022988505857E-2</v>
      </c>
      <c r="N21" s="438">
        <f t="shared" si="1"/>
        <v>9.1954022988505857E-2</v>
      </c>
      <c r="O21" s="478">
        <f t="shared" si="1"/>
        <v>5.5233445224290634E-2</v>
      </c>
      <c r="P21" s="438">
        <f t="shared" si="1"/>
        <v>5.5233445224290634E-2</v>
      </c>
      <c r="Q21" s="438">
        <f t="shared" si="1"/>
        <v>5.5233445224290634E-2</v>
      </c>
      <c r="R21" s="439">
        <f t="shared" si="1"/>
        <v>5.5233445224290634E-2</v>
      </c>
      <c r="S21" s="480"/>
    </row>
    <row r="22" spans="2:19" ht="15" customHeight="1" x14ac:dyDescent="0.25">
      <c r="B22" s="389">
        <v>1965</v>
      </c>
      <c r="C22" s="474">
        <v>1865.9759709859031</v>
      </c>
      <c r="D22" s="475">
        <f t="shared" si="0"/>
        <v>1865.9759709859031</v>
      </c>
      <c r="E22" s="475">
        <f t="shared" si="0"/>
        <v>1865.9759709859031</v>
      </c>
      <c r="F22" s="475">
        <f t="shared" si="0"/>
        <v>1865.9759709859031</v>
      </c>
      <c r="G22" s="477">
        <f>C22*Prix!C$73/Prix!C22</f>
        <v>16142.786940705335</v>
      </c>
      <c r="H22" s="475">
        <f>D22*Prix!D$73/Prix!D22</f>
        <v>16142.786940705335</v>
      </c>
      <c r="I22" s="475">
        <f>E22*Prix!E$73/Prix!E22</f>
        <v>16142.786940705335</v>
      </c>
      <c r="J22" s="475">
        <f>F22*Prix!F$73/Prix!F22</f>
        <v>16142.786940705335</v>
      </c>
      <c r="K22" s="478">
        <f t="shared" si="1"/>
        <v>7.3684210526315796E-2</v>
      </c>
      <c r="L22" s="438">
        <f t="shared" si="1"/>
        <v>7.3684210526315796E-2</v>
      </c>
      <c r="M22" s="438">
        <f t="shared" si="1"/>
        <v>7.3684210526315796E-2</v>
      </c>
      <c r="N22" s="438">
        <f t="shared" si="1"/>
        <v>7.3684210526315796E-2</v>
      </c>
      <c r="O22" s="478">
        <f t="shared" si="1"/>
        <v>4.7722934278702001E-2</v>
      </c>
      <c r="P22" s="438">
        <f t="shared" si="1"/>
        <v>4.7722934278702001E-2</v>
      </c>
      <c r="Q22" s="438">
        <f t="shared" si="1"/>
        <v>4.7722934278702001E-2</v>
      </c>
      <c r="R22" s="439">
        <f t="shared" si="1"/>
        <v>4.7722934278702001E-2</v>
      </c>
      <c r="S22" s="480"/>
    </row>
    <row r="23" spans="2:19" ht="15" customHeight="1" x14ac:dyDescent="0.25">
      <c r="B23" s="389">
        <v>1966</v>
      </c>
      <c r="C23" s="474">
        <v>1975.7392633968386</v>
      </c>
      <c r="D23" s="475">
        <f t="shared" ref="D23:F38" si="2">C23</f>
        <v>1975.7392633968386</v>
      </c>
      <c r="E23" s="475">
        <f t="shared" si="2"/>
        <v>1975.7392633968386</v>
      </c>
      <c r="F23" s="475">
        <f t="shared" si="2"/>
        <v>1975.7392633968386</v>
      </c>
      <c r="G23" s="477">
        <f>C23*Prix!C$73/Prix!C23</f>
        <v>16646.724929108099</v>
      </c>
      <c r="H23" s="475">
        <f>D23*Prix!D$73/Prix!D23</f>
        <v>16646.724929108099</v>
      </c>
      <c r="I23" s="475">
        <f>E23*Prix!E$73/Prix!E23</f>
        <v>16646.724929108099</v>
      </c>
      <c r="J23" s="475">
        <f>F23*Prix!F$73/Prix!F23</f>
        <v>16646.724929108099</v>
      </c>
      <c r="K23" s="478">
        <f t="shared" si="1"/>
        <v>5.8823529411764719E-2</v>
      </c>
      <c r="L23" s="438">
        <f t="shared" si="1"/>
        <v>5.8823529411764719E-2</v>
      </c>
      <c r="M23" s="438">
        <f t="shared" si="1"/>
        <v>5.8823529411764719E-2</v>
      </c>
      <c r="N23" s="438">
        <f t="shared" si="1"/>
        <v>5.8823529411764719E-2</v>
      </c>
      <c r="O23" s="478">
        <f t="shared" si="1"/>
        <v>3.1217533270667452E-2</v>
      </c>
      <c r="P23" s="438">
        <f t="shared" si="1"/>
        <v>3.1217533270667452E-2</v>
      </c>
      <c r="Q23" s="438">
        <f t="shared" si="1"/>
        <v>3.1217533270667452E-2</v>
      </c>
      <c r="R23" s="439">
        <f t="shared" si="1"/>
        <v>3.1217533270667452E-2</v>
      </c>
      <c r="S23" s="480"/>
    </row>
    <row r="24" spans="2:19" ht="15" customHeight="1" x14ac:dyDescent="0.25">
      <c r="B24" s="389">
        <v>1967</v>
      </c>
      <c r="C24" s="474">
        <v>2085.5025558077741</v>
      </c>
      <c r="D24" s="475">
        <f t="shared" si="2"/>
        <v>2085.5025558077741</v>
      </c>
      <c r="E24" s="475">
        <f t="shared" si="2"/>
        <v>2085.5025558077741</v>
      </c>
      <c r="F24" s="475">
        <f t="shared" si="2"/>
        <v>2085.5025558077741</v>
      </c>
      <c r="G24" s="477">
        <f>C24*Prix!C$73/Prix!C24</f>
        <v>17097.025044257185</v>
      </c>
      <c r="H24" s="475">
        <f>D24*Prix!D$73/Prix!D24</f>
        <v>17097.025044257185</v>
      </c>
      <c r="I24" s="475">
        <f>E24*Prix!E$73/Prix!E24</f>
        <v>17097.025044257185</v>
      </c>
      <c r="J24" s="475">
        <f>F24*Prix!F$73/Prix!F24</f>
        <v>17097.025044257185</v>
      </c>
      <c r="K24" s="478">
        <f t="shared" si="1"/>
        <v>5.555555555555558E-2</v>
      </c>
      <c r="L24" s="438">
        <f t="shared" si="1"/>
        <v>5.555555555555558E-2</v>
      </c>
      <c r="M24" s="438">
        <f t="shared" si="1"/>
        <v>5.555555555555558E-2</v>
      </c>
      <c r="N24" s="438">
        <f t="shared" si="1"/>
        <v>5.555555555555558E-2</v>
      </c>
      <c r="O24" s="478">
        <f t="shared" si="1"/>
        <v>2.7050372795053512E-2</v>
      </c>
      <c r="P24" s="438">
        <f t="shared" si="1"/>
        <v>2.7050372795053512E-2</v>
      </c>
      <c r="Q24" s="438">
        <f t="shared" si="1"/>
        <v>2.7050372795053512E-2</v>
      </c>
      <c r="R24" s="439">
        <f t="shared" si="1"/>
        <v>2.7050372795053512E-2</v>
      </c>
      <c r="S24" s="480"/>
    </row>
    <row r="25" spans="2:19" ht="15" customHeight="1" x14ac:dyDescent="0.25">
      <c r="B25" s="389">
        <v>1968</v>
      </c>
      <c r="C25" s="474">
        <v>2195.2658482187094</v>
      </c>
      <c r="D25" s="475">
        <f t="shared" si="2"/>
        <v>2195.2658482187094</v>
      </c>
      <c r="E25" s="475">
        <f t="shared" si="2"/>
        <v>2195.2658482187094</v>
      </c>
      <c r="F25" s="475">
        <f t="shared" si="2"/>
        <v>2195.2658482187094</v>
      </c>
      <c r="G25" s="477">
        <f>C25*Prix!C$73/Prix!C25</f>
        <v>17221.748839040745</v>
      </c>
      <c r="H25" s="475">
        <f>D25*Prix!D$73/Prix!D25</f>
        <v>17221.748839040745</v>
      </c>
      <c r="I25" s="475">
        <f>E25*Prix!E$73/Prix!E25</f>
        <v>17221.748839040745</v>
      </c>
      <c r="J25" s="475">
        <f>F25*Prix!F$73/Prix!F25</f>
        <v>17221.748839040745</v>
      </c>
      <c r="K25" s="478">
        <f t="shared" si="1"/>
        <v>5.2631578947368363E-2</v>
      </c>
      <c r="L25" s="438">
        <f t="shared" si="1"/>
        <v>5.2631578947368363E-2</v>
      </c>
      <c r="M25" s="438">
        <f t="shared" si="1"/>
        <v>5.2631578947368363E-2</v>
      </c>
      <c r="N25" s="438">
        <f t="shared" si="1"/>
        <v>5.2631578947368363E-2</v>
      </c>
      <c r="O25" s="478">
        <f t="shared" si="1"/>
        <v>7.2950583192514795E-3</v>
      </c>
      <c r="P25" s="438">
        <f t="shared" si="1"/>
        <v>7.2950583192514795E-3</v>
      </c>
      <c r="Q25" s="438">
        <f t="shared" si="1"/>
        <v>7.2950583192514795E-3</v>
      </c>
      <c r="R25" s="439">
        <f t="shared" si="1"/>
        <v>7.2950583192514795E-3</v>
      </c>
      <c r="S25" s="480"/>
    </row>
    <row r="26" spans="2:19" ht="15" customHeight="1" x14ac:dyDescent="0.25">
      <c r="B26" s="389">
        <v>1969</v>
      </c>
      <c r="C26" s="474">
        <v>2487.9679613145372</v>
      </c>
      <c r="D26" s="475">
        <f t="shared" si="2"/>
        <v>2487.9679613145372</v>
      </c>
      <c r="E26" s="475">
        <f t="shared" si="2"/>
        <v>2487.9679613145372</v>
      </c>
      <c r="F26" s="475">
        <f t="shared" si="2"/>
        <v>2487.9679613145372</v>
      </c>
      <c r="G26" s="477">
        <f>C26*Prix!C$73/Prix!C26</f>
        <v>18340.29656839517</v>
      </c>
      <c r="H26" s="475">
        <f>D26*Prix!D$73/Prix!D26</f>
        <v>18340.29656839517</v>
      </c>
      <c r="I26" s="475">
        <f>E26*Prix!E$73/Prix!E26</f>
        <v>18340.29656839517</v>
      </c>
      <c r="J26" s="475">
        <f>F26*Prix!F$73/Prix!F26</f>
        <v>18340.29656839517</v>
      </c>
      <c r="K26" s="478">
        <f t="shared" si="1"/>
        <v>0.1333333333333333</v>
      </c>
      <c r="L26" s="438">
        <f t="shared" si="1"/>
        <v>0.1333333333333333</v>
      </c>
      <c r="M26" s="438">
        <f t="shared" si="1"/>
        <v>0.1333333333333333</v>
      </c>
      <c r="N26" s="438">
        <f t="shared" si="1"/>
        <v>0.1333333333333333</v>
      </c>
      <c r="O26" s="478">
        <f t="shared" si="1"/>
        <v>6.4949717929850381E-2</v>
      </c>
      <c r="P26" s="438">
        <f t="shared" si="1"/>
        <v>6.4949717929850381E-2</v>
      </c>
      <c r="Q26" s="438">
        <f t="shared" si="1"/>
        <v>6.4949717929850381E-2</v>
      </c>
      <c r="R26" s="439">
        <f t="shared" si="1"/>
        <v>6.4949717929850381E-2</v>
      </c>
      <c r="S26" s="480"/>
    </row>
    <row r="27" spans="2:19" ht="15" customHeight="1" x14ac:dyDescent="0.25">
      <c r="B27" s="389">
        <v>1970</v>
      </c>
      <c r="C27" s="474">
        <v>2744.0823102733871</v>
      </c>
      <c r="D27" s="475">
        <f t="shared" si="2"/>
        <v>2744.0823102733871</v>
      </c>
      <c r="E27" s="475">
        <f t="shared" si="2"/>
        <v>2744.0823102733871</v>
      </c>
      <c r="F27" s="475">
        <f t="shared" si="2"/>
        <v>2744.0823102733871</v>
      </c>
      <c r="G27" s="477">
        <f>C27*Prix!C$73/Prix!C27</f>
        <v>19223.927681341811</v>
      </c>
      <c r="H27" s="475">
        <f>D27*Prix!D$73/Prix!D27</f>
        <v>19223.927681341811</v>
      </c>
      <c r="I27" s="475">
        <f>E27*Prix!E$73/Prix!E27</f>
        <v>19223.927681341811</v>
      </c>
      <c r="J27" s="475">
        <f>F27*Prix!F$73/Prix!F27</f>
        <v>19223.927681341811</v>
      </c>
      <c r="K27" s="478">
        <f t="shared" si="1"/>
        <v>0.10294117647058831</v>
      </c>
      <c r="L27" s="438">
        <f t="shared" si="1"/>
        <v>0.10294117647058831</v>
      </c>
      <c r="M27" s="438">
        <f t="shared" si="1"/>
        <v>0.10294117647058831</v>
      </c>
      <c r="N27" s="438">
        <f t="shared" si="1"/>
        <v>0.10294117647058831</v>
      </c>
      <c r="O27" s="478">
        <f t="shared" si="1"/>
        <v>4.8179761415055644E-2</v>
      </c>
      <c r="P27" s="438">
        <f t="shared" si="1"/>
        <v>4.8179761415055644E-2</v>
      </c>
      <c r="Q27" s="438">
        <f t="shared" si="1"/>
        <v>4.8179761415055644E-2</v>
      </c>
      <c r="R27" s="439">
        <f t="shared" si="1"/>
        <v>4.8179761415055644E-2</v>
      </c>
      <c r="S27" s="480"/>
    </row>
    <row r="28" spans="2:19" ht="15" customHeight="1" x14ac:dyDescent="0.25">
      <c r="B28" s="389">
        <v>1971</v>
      </c>
      <c r="C28" s="474">
        <v>3018.4905413007255</v>
      </c>
      <c r="D28" s="475">
        <f t="shared" si="2"/>
        <v>3018.4905413007255</v>
      </c>
      <c r="E28" s="475">
        <f t="shared" si="2"/>
        <v>3018.4905413007255</v>
      </c>
      <c r="F28" s="475">
        <f t="shared" si="2"/>
        <v>3018.4905413007255</v>
      </c>
      <c r="G28" s="477">
        <f>C28*Prix!C$73/Prix!C28</f>
        <v>20012.732126241342</v>
      </c>
      <c r="H28" s="475">
        <f>D28*Prix!D$73/Prix!D28</f>
        <v>20012.732126241342</v>
      </c>
      <c r="I28" s="475">
        <f>E28*Prix!E$73/Prix!E28</f>
        <v>20012.732126241342</v>
      </c>
      <c r="J28" s="475">
        <f>F28*Prix!F$73/Prix!F28</f>
        <v>20012.732126241342</v>
      </c>
      <c r="K28" s="478">
        <f t="shared" si="1"/>
        <v>9.9999999999999867E-2</v>
      </c>
      <c r="L28" s="438">
        <f t="shared" si="1"/>
        <v>9.9999999999999867E-2</v>
      </c>
      <c r="M28" s="438">
        <f t="shared" si="1"/>
        <v>9.9999999999999867E-2</v>
      </c>
      <c r="N28" s="438">
        <f t="shared" si="1"/>
        <v>9.9999999999999867E-2</v>
      </c>
      <c r="O28" s="478">
        <f t="shared" si="1"/>
        <v>4.1032428855062975E-2</v>
      </c>
      <c r="P28" s="438">
        <f t="shared" si="1"/>
        <v>4.1032428855062975E-2</v>
      </c>
      <c r="Q28" s="438">
        <f t="shared" si="1"/>
        <v>4.1032428855062975E-2</v>
      </c>
      <c r="R28" s="439">
        <f t="shared" si="1"/>
        <v>4.1032428855062975E-2</v>
      </c>
      <c r="S28" s="480"/>
    </row>
    <row r="29" spans="2:19" ht="15" customHeight="1" x14ac:dyDescent="0.25">
      <c r="B29" s="389">
        <v>1972</v>
      </c>
      <c r="C29" s="474">
        <v>3347.7804185335322</v>
      </c>
      <c r="D29" s="475">
        <f t="shared" si="2"/>
        <v>3347.7804185335322</v>
      </c>
      <c r="E29" s="475">
        <f t="shared" si="2"/>
        <v>3347.7804185335322</v>
      </c>
      <c r="F29" s="475">
        <f t="shared" si="2"/>
        <v>3347.7804185335322</v>
      </c>
      <c r="G29" s="477">
        <f>C29*Prix!C$73/Prix!C29</f>
        <v>20909.017601539232</v>
      </c>
      <c r="H29" s="475">
        <f>D29*Prix!D$73/Prix!D29</f>
        <v>20909.017601539232</v>
      </c>
      <c r="I29" s="475">
        <f>E29*Prix!E$73/Prix!E29</f>
        <v>20909.017601539232</v>
      </c>
      <c r="J29" s="475">
        <f>F29*Prix!F$73/Prix!F29</f>
        <v>20909.017601539232</v>
      </c>
      <c r="K29" s="478">
        <f t="shared" si="1"/>
        <v>0.10909090909090913</v>
      </c>
      <c r="L29" s="438">
        <f t="shared" si="1"/>
        <v>0.10909090909090913</v>
      </c>
      <c r="M29" s="438">
        <f t="shared" si="1"/>
        <v>0.10909090909090913</v>
      </c>
      <c r="N29" s="438">
        <f t="shared" si="1"/>
        <v>0.10909090909090913</v>
      </c>
      <c r="O29" s="478">
        <f t="shared" si="1"/>
        <v>4.4785762865563461E-2</v>
      </c>
      <c r="P29" s="438">
        <f t="shared" si="1"/>
        <v>4.4785762865563461E-2</v>
      </c>
      <c r="Q29" s="438">
        <f t="shared" si="1"/>
        <v>4.4785762865563461E-2</v>
      </c>
      <c r="R29" s="439">
        <f t="shared" si="1"/>
        <v>4.4785762865563461E-2</v>
      </c>
      <c r="S29" s="480"/>
    </row>
    <row r="30" spans="2:19" ht="15" customHeight="1" x14ac:dyDescent="0.25">
      <c r="B30" s="389">
        <v>1973</v>
      </c>
      <c r="C30" s="474">
        <v>3731.9519419718063</v>
      </c>
      <c r="D30" s="475">
        <f t="shared" si="2"/>
        <v>3731.9519419718063</v>
      </c>
      <c r="E30" s="475">
        <f t="shared" si="2"/>
        <v>3731.9519419718063</v>
      </c>
      <c r="F30" s="475">
        <f t="shared" si="2"/>
        <v>3731.9519419718063</v>
      </c>
      <c r="G30" s="477">
        <f>C30*Prix!C$73/Prix!C30</f>
        <v>21339.437531206368</v>
      </c>
      <c r="H30" s="475">
        <f>D30*Prix!D$73/Prix!D30</f>
        <v>21339.437531206368</v>
      </c>
      <c r="I30" s="475">
        <f>E30*Prix!E$73/Prix!E30</f>
        <v>21339.437531206368</v>
      </c>
      <c r="J30" s="475">
        <f>F30*Prix!F$73/Prix!F30</f>
        <v>21339.437531206368</v>
      </c>
      <c r="K30" s="478">
        <f t="shared" si="1"/>
        <v>0.11475409836065564</v>
      </c>
      <c r="L30" s="438">
        <f t="shared" si="1"/>
        <v>0.11475409836065564</v>
      </c>
      <c r="M30" s="438">
        <f t="shared" si="1"/>
        <v>0.11475409836065564</v>
      </c>
      <c r="N30" s="438">
        <f t="shared" si="1"/>
        <v>0.11475409836065564</v>
      </c>
      <c r="O30" s="478">
        <f t="shared" si="1"/>
        <v>2.0585373156673414E-2</v>
      </c>
      <c r="P30" s="438">
        <f t="shared" si="1"/>
        <v>2.0585373156673414E-2</v>
      </c>
      <c r="Q30" s="438">
        <f t="shared" si="1"/>
        <v>2.0585373156673414E-2</v>
      </c>
      <c r="R30" s="439">
        <f t="shared" si="1"/>
        <v>2.0585373156673414E-2</v>
      </c>
      <c r="S30" s="480"/>
    </row>
    <row r="31" spans="2:19" ht="15" customHeight="1" x14ac:dyDescent="0.25">
      <c r="B31" s="389">
        <v>1974</v>
      </c>
      <c r="C31" s="474">
        <v>4244.1806398895051</v>
      </c>
      <c r="D31" s="475">
        <f t="shared" si="2"/>
        <v>4244.1806398895051</v>
      </c>
      <c r="E31" s="475">
        <f t="shared" si="2"/>
        <v>4244.1806398895051</v>
      </c>
      <c r="F31" s="475">
        <f t="shared" si="2"/>
        <v>4244.1806398895051</v>
      </c>
      <c r="G31" s="477">
        <f>C31*Prix!C$73/Prix!C31</f>
        <v>21333.769016765211</v>
      </c>
      <c r="H31" s="475">
        <f>D31*Prix!D$73/Prix!D31</f>
        <v>21333.769016765211</v>
      </c>
      <c r="I31" s="475">
        <f>E31*Prix!E$73/Prix!E31</f>
        <v>21333.769016765211</v>
      </c>
      <c r="J31" s="475">
        <f>F31*Prix!F$73/Prix!F31</f>
        <v>21333.769016765211</v>
      </c>
      <c r="K31" s="478">
        <f t="shared" si="1"/>
        <v>0.13725490196078427</v>
      </c>
      <c r="L31" s="438">
        <f t="shared" si="1"/>
        <v>0.13725490196078427</v>
      </c>
      <c r="M31" s="438">
        <f t="shared" si="1"/>
        <v>0.13725490196078427</v>
      </c>
      <c r="N31" s="438">
        <f t="shared" si="1"/>
        <v>0.13725490196078427</v>
      </c>
      <c r="O31" s="478">
        <f t="shared" si="1"/>
        <v>-2.6563560697734356E-4</v>
      </c>
      <c r="P31" s="438">
        <f t="shared" si="1"/>
        <v>-2.6563560697734356E-4</v>
      </c>
      <c r="Q31" s="438">
        <f t="shared" si="1"/>
        <v>-2.6563560697734356E-4</v>
      </c>
      <c r="R31" s="439">
        <f t="shared" si="1"/>
        <v>-2.6563560697734356E-4</v>
      </c>
      <c r="S31" s="480"/>
    </row>
    <row r="32" spans="2:19" ht="15" customHeight="1" x14ac:dyDescent="0.25">
      <c r="B32" s="389">
        <v>1975</v>
      </c>
      <c r="C32" s="474">
        <v>5030.8175688345427</v>
      </c>
      <c r="D32" s="475">
        <f t="shared" si="2"/>
        <v>5030.8175688345427</v>
      </c>
      <c r="E32" s="475">
        <f t="shared" si="2"/>
        <v>5030.8175688345427</v>
      </c>
      <c r="F32" s="475">
        <f t="shared" si="2"/>
        <v>5030.8175688345427</v>
      </c>
      <c r="G32" s="477">
        <f>C32*Prix!C$73/Prix!C32</f>
        <v>22630.772521142546</v>
      </c>
      <c r="H32" s="475">
        <f>D32*Prix!D$73/Prix!D32</f>
        <v>22630.772521142546</v>
      </c>
      <c r="I32" s="475">
        <f>E32*Prix!E$73/Prix!E32</f>
        <v>22630.772521142546</v>
      </c>
      <c r="J32" s="475">
        <f>F32*Prix!F$73/Prix!F32</f>
        <v>22630.772521142546</v>
      </c>
      <c r="K32" s="478">
        <f t="shared" si="1"/>
        <v>0.18534482758620685</v>
      </c>
      <c r="L32" s="438">
        <f t="shared" si="1"/>
        <v>0.18534482758620685</v>
      </c>
      <c r="M32" s="438">
        <f t="shared" si="1"/>
        <v>0.18534482758620685</v>
      </c>
      <c r="N32" s="438">
        <f t="shared" si="1"/>
        <v>0.18534482758620685</v>
      </c>
      <c r="O32" s="478">
        <f t="shared" si="1"/>
        <v>6.0795797655729844E-2</v>
      </c>
      <c r="P32" s="438">
        <f t="shared" si="1"/>
        <v>6.0795797655729844E-2</v>
      </c>
      <c r="Q32" s="438">
        <f t="shared" si="1"/>
        <v>6.0795797655729844E-2</v>
      </c>
      <c r="R32" s="439">
        <f t="shared" si="1"/>
        <v>6.0795797655729844E-2</v>
      </c>
      <c r="S32" s="480"/>
    </row>
    <row r="33" spans="2:19" ht="15" customHeight="1" x14ac:dyDescent="0.25">
      <c r="B33" s="389">
        <v>1976</v>
      </c>
      <c r="C33" s="474">
        <v>5780.8667336426015</v>
      </c>
      <c r="D33" s="475">
        <f t="shared" si="2"/>
        <v>5780.8667336426015</v>
      </c>
      <c r="E33" s="475">
        <f t="shared" si="2"/>
        <v>5780.8667336426015</v>
      </c>
      <c r="F33" s="475">
        <f t="shared" si="2"/>
        <v>5780.8667336426015</v>
      </c>
      <c r="G33" s="477">
        <f>C33*Prix!C$73/Prix!C33</f>
        <v>23715.283758243888</v>
      </c>
      <c r="H33" s="475">
        <f>D33*Prix!D$73/Prix!D33</f>
        <v>23715.283758243888</v>
      </c>
      <c r="I33" s="475">
        <f>E33*Prix!E$73/Prix!E33</f>
        <v>23715.283758243888</v>
      </c>
      <c r="J33" s="475">
        <f>F33*Prix!F$73/Prix!F33</f>
        <v>23715.283758243888</v>
      </c>
      <c r="K33" s="478">
        <f t="shared" si="1"/>
        <v>0.14909090909090894</v>
      </c>
      <c r="L33" s="438">
        <f t="shared" si="1"/>
        <v>0.14909090909090894</v>
      </c>
      <c r="M33" s="438">
        <f t="shared" si="1"/>
        <v>0.14909090909090894</v>
      </c>
      <c r="N33" s="438">
        <f t="shared" si="1"/>
        <v>0.14909090909090894</v>
      </c>
      <c r="O33" s="478">
        <f t="shared" si="1"/>
        <v>4.7921971558334997E-2</v>
      </c>
      <c r="P33" s="438">
        <f t="shared" si="1"/>
        <v>4.7921971558334997E-2</v>
      </c>
      <c r="Q33" s="438">
        <f t="shared" si="1"/>
        <v>4.7921971558334997E-2</v>
      </c>
      <c r="R33" s="439">
        <f t="shared" si="1"/>
        <v>4.7921971558334997E-2</v>
      </c>
      <c r="S33" s="480"/>
    </row>
    <row r="34" spans="2:19" ht="15" customHeight="1" x14ac:dyDescent="0.25">
      <c r="B34" s="389">
        <v>1977</v>
      </c>
      <c r="C34" s="474">
        <v>6604.091426724618</v>
      </c>
      <c r="D34" s="475">
        <f t="shared" si="2"/>
        <v>6604.091426724618</v>
      </c>
      <c r="E34" s="475">
        <f t="shared" si="2"/>
        <v>6604.091426724618</v>
      </c>
      <c r="F34" s="475">
        <f t="shared" si="2"/>
        <v>6604.091426724618</v>
      </c>
      <c r="G34" s="477">
        <f>C34*Prix!C$73/Prix!C34</f>
        <v>24778.946783867872</v>
      </c>
      <c r="H34" s="475">
        <f>D34*Prix!D$73/Prix!D34</f>
        <v>24778.946783867872</v>
      </c>
      <c r="I34" s="475">
        <f>E34*Prix!E$73/Prix!E34</f>
        <v>24778.946783867872</v>
      </c>
      <c r="J34" s="475">
        <f>F34*Prix!F$73/Prix!F34</f>
        <v>24778.946783867872</v>
      </c>
      <c r="K34" s="478">
        <f t="shared" si="1"/>
        <v>0.14240506329113933</v>
      </c>
      <c r="L34" s="438">
        <f t="shared" si="1"/>
        <v>0.14240506329113933</v>
      </c>
      <c r="M34" s="438">
        <f t="shared" si="1"/>
        <v>0.14240506329113933</v>
      </c>
      <c r="N34" s="438">
        <f t="shared" si="1"/>
        <v>0.14240506329113933</v>
      </c>
      <c r="O34" s="478">
        <f t="shared" si="1"/>
        <v>4.4851372493244446E-2</v>
      </c>
      <c r="P34" s="438">
        <f t="shared" si="1"/>
        <v>4.4851372493244446E-2</v>
      </c>
      <c r="Q34" s="438">
        <f t="shared" si="1"/>
        <v>4.4851372493244446E-2</v>
      </c>
      <c r="R34" s="439">
        <f t="shared" si="1"/>
        <v>4.4851372493244446E-2</v>
      </c>
      <c r="S34" s="480"/>
    </row>
    <row r="35" spans="2:19" ht="15" customHeight="1" x14ac:dyDescent="0.25">
      <c r="B35" s="389">
        <v>1978</v>
      </c>
      <c r="C35" s="474">
        <v>7317.5528273956979</v>
      </c>
      <c r="D35" s="475">
        <f t="shared" si="2"/>
        <v>7317.5528273956979</v>
      </c>
      <c r="E35" s="475">
        <f t="shared" si="2"/>
        <v>7317.5528273956979</v>
      </c>
      <c r="F35" s="475">
        <f t="shared" si="2"/>
        <v>7317.5528273956979</v>
      </c>
      <c r="G35" s="477">
        <f>C35*Prix!C$73/Prix!C35</f>
        <v>25174.191011280938</v>
      </c>
      <c r="H35" s="475">
        <f>D35*Prix!D$73/Prix!D35</f>
        <v>25174.191011280938</v>
      </c>
      <c r="I35" s="475">
        <f>E35*Prix!E$73/Prix!E35</f>
        <v>25174.191011280938</v>
      </c>
      <c r="J35" s="475">
        <f>F35*Prix!F$73/Prix!F35</f>
        <v>25174.191011280938</v>
      </c>
      <c r="K35" s="478">
        <f t="shared" si="1"/>
        <v>0.10803324099722977</v>
      </c>
      <c r="L35" s="438">
        <f t="shared" si="1"/>
        <v>0.10803324099722977</v>
      </c>
      <c r="M35" s="438">
        <f t="shared" si="1"/>
        <v>0.10803324099722977</v>
      </c>
      <c r="N35" s="438">
        <f t="shared" si="1"/>
        <v>0.10803324099722977</v>
      </c>
      <c r="O35" s="478">
        <f t="shared" si="1"/>
        <v>1.5950808194575394E-2</v>
      </c>
      <c r="P35" s="438">
        <f t="shared" si="1"/>
        <v>1.5950808194575394E-2</v>
      </c>
      <c r="Q35" s="438">
        <f t="shared" si="1"/>
        <v>1.5950808194575394E-2</v>
      </c>
      <c r="R35" s="439">
        <f t="shared" si="1"/>
        <v>1.5950808194575394E-2</v>
      </c>
      <c r="S35" s="480"/>
    </row>
    <row r="36" spans="2:19" ht="15" customHeight="1" x14ac:dyDescent="0.25">
      <c r="B36" s="389">
        <v>1979</v>
      </c>
      <c r="C36" s="474">
        <v>8177.3652846146924</v>
      </c>
      <c r="D36" s="475">
        <f t="shared" si="2"/>
        <v>8177.3652846146924</v>
      </c>
      <c r="E36" s="475">
        <f t="shared" si="2"/>
        <v>8177.3652846146924</v>
      </c>
      <c r="F36" s="475">
        <f t="shared" si="2"/>
        <v>8177.3652846146924</v>
      </c>
      <c r="G36" s="477">
        <f>C36*Prix!C$73/Prix!C36</f>
        <v>25393.93844428704</v>
      </c>
      <c r="H36" s="475">
        <f>D36*Prix!D$73/Prix!D36</f>
        <v>25393.93844428704</v>
      </c>
      <c r="I36" s="475">
        <f>E36*Prix!E$73/Prix!E36</f>
        <v>25393.93844428704</v>
      </c>
      <c r="J36" s="475">
        <f>F36*Prix!F$73/Prix!F36</f>
        <v>25393.93844428704</v>
      </c>
      <c r="K36" s="478">
        <f t="shared" si="1"/>
        <v>0.11749999999999994</v>
      </c>
      <c r="L36" s="438">
        <f t="shared" si="1"/>
        <v>0.11749999999999994</v>
      </c>
      <c r="M36" s="438">
        <f t="shared" si="1"/>
        <v>0.11749999999999994</v>
      </c>
      <c r="N36" s="438">
        <f t="shared" si="1"/>
        <v>0.11749999999999994</v>
      </c>
      <c r="O36" s="478">
        <f t="shared" si="1"/>
        <v>8.7290762554248502E-3</v>
      </c>
      <c r="P36" s="438">
        <f t="shared" si="1"/>
        <v>8.7290762554248502E-3</v>
      </c>
      <c r="Q36" s="438">
        <f t="shared" si="1"/>
        <v>8.7290762554248502E-3</v>
      </c>
      <c r="R36" s="439">
        <f t="shared" si="1"/>
        <v>8.7290762554248502E-3</v>
      </c>
      <c r="S36" s="480"/>
    </row>
    <row r="37" spans="2:19" ht="15" customHeight="1" x14ac:dyDescent="0.25">
      <c r="B37" s="389">
        <v>1980</v>
      </c>
      <c r="C37" s="474">
        <v>9165.234916313113</v>
      </c>
      <c r="D37" s="475">
        <f t="shared" si="2"/>
        <v>9165.234916313113</v>
      </c>
      <c r="E37" s="475">
        <f t="shared" si="2"/>
        <v>9165.234916313113</v>
      </c>
      <c r="F37" s="475">
        <f t="shared" si="2"/>
        <v>9165.234916313113</v>
      </c>
      <c r="G37" s="477">
        <f>C37*Prix!C$73/Prix!C37</f>
        <v>25066.154352067912</v>
      </c>
      <c r="H37" s="475">
        <f>D37*Prix!D$73/Prix!D37</f>
        <v>25066.154352067912</v>
      </c>
      <c r="I37" s="475">
        <f>E37*Prix!E$73/Prix!E37</f>
        <v>25066.154352067912</v>
      </c>
      <c r="J37" s="475">
        <f>F37*Prix!F$73/Prix!F37</f>
        <v>25066.154352067912</v>
      </c>
      <c r="K37" s="478">
        <f t="shared" si="1"/>
        <v>0.12080536912751705</v>
      </c>
      <c r="L37" s="438">
        <f t="shared" si="1"/>
        <v>0.12080536912751705</v>
      </c>
      <c r="M37" s="438">
        <f t="shared" si="1"/>
        <v>0.12080536912751705</v>
      </c>
      <c r="N37" s="438">
        <f t="shared" si="1"/>
        <v>0.12080536912751705</v>
      </c>
      <c r="O37" s="478">
        <f t="shared" si="1"/>
        <v>-1.2907965928100062E-2</v>
      </c>
      <c r="P37" s="438">
        <f t="shared" si="1"/>
        <v>-1.2907965928100062E-2</v>
      </c>
      <c r="Q37" s="438">
        <f t="shared" si="1"/>
        <v>-1.2907965928100062E-2</v>
      </c>
      <c r="R37" s="439">
        <f t="shared" si="1"/>
        <v>-1.2907965928100062E-2</v>
      </c>
      <c r="S37" s="480"/>
    </row>
    <row r="38" spans="2:19" ht="15" customHeight="1" x14ac:dyDescent="0.25">
      <c r="B38" s="389">
        <v>1981</v>
      </c>
      <c r="C38" s="474">
        <v>10482.394425244338</v>
      </c>
      <c r="D38" s="475">
        <f t="shared" si="2"/>
        <v>10482.394425244338</v>
      </c>
      <c r="E38" s="475">
        <f t="shared" si="2"/>
        <v>10482.394425244338</v>
      </c>
      <c r="F38" s="475">
        <f t="shared" si="2"/>
        <v>10482.394425244338</v>
      </c>
      <c r="G38" s="477">
        <f>C38*Prix!C$73/Prix!C38</f>
        <v>25279.881403971543</v>
      </c>
      <c r="H38" s="475">
        <f>D38*Prix!D$73/Prix!D38</f>
        <v>25279.881403971543</v>
      </c>
      <c r="I38" s="475">
        <f>E38*Prix!E$73/Prix!E38</f>
        <v>25279.881403971543</v>
      </c>
      <c r="J38" s="475">
        <f>F38*Prix!F$73/Prix!F38</f>
        <v>25279.881403971543</v>
      </c>
      <c r="K38" s="478">
        <f t="shared" si="1"/>
        <v>0.1437125748502992</v>
      </c>
      <c r="L38" s="438">
        <f t="shared" si="1"/>
        <v>0.1437125748502992</v>
      </c>
      <c r="M38" s="438">
        <f t="shared" si="1"/>
        <v>0.1437125748502992</v>
      </c>
      <c r="N38" s="438">
        <f t="shared" si="1"/>
        <v>0.1437125748502992</v>
      </c>
      <c r="O38" s="478">
        <f t="shared" si="1"/>
        <v>8.5265194214365625E-3</v>
      </c>
      <c r="P38" s="438">
        <f t="shared" si="1"/>
        <v>8.5265194214365625E-3</v>
      </c>
      <c r="Q38" s="438">
        <f t="shared" si="1"/>
        <v>8.5265194214365625E-3</v>
      </c>
      <c r="R38" s="439">
        <f t="shared" ref="R38:R101" si="3">J38/J37-1</f>
        <v>8.5265194214365625E-3</v>
      </c>
      <c r="S38" s="480"/>
    </row>
    <row r="39" spans="2:19" ht="15" customHeight="1" x14ac:dyDescent="0.25">
      <c r="B39" s="389">
        <v>1982</v>
      </c>
      <c r="C39" s="474">
        <v>12507.552230338519</v>
      </c>
      <c r="D39" s="475">
        <f t="shared" ref="D39:F54" si="4">C39</f>
        <v>12507.552230338519</v>
      </c>
      <c r="E39" s="475">
        <f t="shared" si="4"/>
        <v>12507.552230338519</v>
      </c>
      <c r="F39" s="475">
        <f t="shared" si="4"/>
        <v>12507.552230338519</v>
      </c>
      <c r="G39" s="477">
        <f>C39*Prix!C$73/Prix!C39</f>
        <v>26975.38390603472</v>
      </c>
      <c r="H39" s="475">
        <f>D39*Prix!D$73/Prix!D39</f>
        <v>26975.38390603472</v>
      </c>
      <c r="I39" s="475">
        <f>E39*Prix!E$73/Prix!E39</f>
        <v>26975.38390603472</v>
      </c>
      <c r="J39" s="475">
        <f>F39*Prix!F$73/Prix!F39</f>
        <v>26975.38390603472</v>
      </c>
      <c r="K39" s="478">
        <f t="shared" ref="K39:Q70" si="5">C39/C38-1</f>
        <v>0.19319610796337461</v>
      </c>
      <c r="L39" s="438">
        <f t="shared" si="5"/>
        <v>0.19319610796337461</v>
      </c>
      <c r="M39" s="438">
        <f t="shared" si="5"/>
        <v>0.19319610796337461</v>
      </c>
      <c r="N39" s="438">
        <f t="shared" si="5"/>
        <v>0.19319610796337461</v>
      </c>
      <c r="O39" s="478">
        <f t="shared" si="5"/>
        <v>6.7069242729786316E-2</v>
      </c>
      <c r="P39" s="438">
        <f t="shared" si="5"/>
        <v>6.7069242729786316E-2</v>
      </c>
      <c r="Q39" s="438">
        <f t="shared" si="5"/>
        <v>6.7069242729786316E-2</v>
      </c>
      <c r="R39" s="439">
        <f t="shared" si="3"/>
        <v>6.7069242729786316E-2</v>
      </c>
      <c r="S39" s="480"/>
    </row>
    <row r="40" spans="2:19" ht="15" customHeight="1" x14ac:dyDescent="0.25">
      <c r="B40" s="389">
        <v>1983</v>
      </c>
      <c r="C40" s="474">
        <v>13979.984195840101</v>
      </c>
      <c r="D40" s="475">
        <f t="shared" si="4"/>
        <v>13979.984195840101</v>
      </c>
      <c r="E40" s="475">
        <f t="shared" si="4"/>
        <v>13979.984195840101</v>
      </c>
      <c r="F40" s="475">
        <f t="shared" si="4"/>
        <v>13979.984195840101</v>
      </c>
      <c r="G40" s="477">
        <f>C40*Prix!C$73/Prix!C40</f>
        <v>27504.21871051181</v>
      </c>
      <c r="H40" s="475">
        <f>D40*Prix!D$73/Prix!D40</f>
        <v>27504.21871051181</v>
      </c>
      <c r="I40" s="475">
        <f>E40*Prix!E$73/Prix!E40</f>
        <v>27504.21871051181</v>
      </c>
      <c r="J40" s="475">
        <f>F40*Prix!F$73/Prix!F40</f>
        <v>27504.21871051181</v>
      </c>
      <c r="K40" s="478">
        <f t="shared" si="5"/>
        <v>0.11772343128258367</v>
      </c>
      <c r="L40" s="438">
        <f t="shared" si="5"/>
        <v>0.11772343128258367</v>
      </c>
      <c r="M40" s="438">
        <f t="shared" si="5"/>
        <v>0.11772343128258367</v>
      </c>
      <c r="N40" s="438">
        <f t="shared" si="5"/>
        <v>0.11772343128258367</v>
      </c>
      <c r="O40" s="478">
        <f t="shared" si="5"/>
        <v>1.9604347664493593E-2</v>
      </c>
      <c r="P40" s="438">
        <f t="shared" si="5"/>
        <v>1.9604347664493593E-2</v>
      </c>
      <c r="Q40" s="438">
        <f t="shared" si="5"/>
        <v>1.9604347664493593E-2</v>
      </c>
      <c r="R40" s="439">
        <f t="shared" si="3"/>
        <v>1.9604347664493593E-2</v>
      </c>
      <c r="S40" s="480"/>
    </row>
    <row r="41" spans="2:19" ht="15" customHeight="1" x14ac:dyDescent="0.25">
      <c r="B41" s="389">
        <v>1984</v>
      </c>
      <c r="C41" s="474">
        <v>15185.821481651001</v>
      </c>
      <c r="D41" s="475">
        <f t="shared" si="4"/>
        <v>15185.821481651001</v>
      </c>
      <c r="E41" s="475">
        <f t="shared" si="4"/>
        <v>15185.821481651001</v>
      </c>
      <c r="F41" s="475">
        <f t="shared" si="4"/>
        <v>15185.821481651001</v>
      </c>
      <c r="G41" s="477">
        <f>C41*Prix!C$73/Prix!C41</f>
        <v>27817.070689921326</v>
      </c>
      <c r="H41" s="475">
        <f>D41*Prix!D$73/Prix!D41</f>
        <v>27817.070689921326</v>
      </c>
      <c r="I41" s="475">
        <f>E41*Prix!E$73/Prix!E41</f>
        <v>27817.070689921326</v>
      </c>
      <c r="J41" s="475">
        <f>F41*Prix!F$73/Prix!F41</f>
        <v>27817.070689921326</v>
      </c>
      <c r="K41" s="478">
        <f t="shared" si="5"/>
        <v>8.6254552860632661E-2</v>
      </c>
      <c r="L41" s="438">
        <f t="shared" si="5"/>
        <v>8.6254552860632661E-2</v>
      </c>
      <c r="M41" s="438">
        <f t="shared" si="5"/>
        <v>8.6254552860632661E-2</v>
      </c>
      <c r="N41" s="438">
        <f t="shared" si="5"/>
        <v>8.6254552860632661E-2</v>
      </c>
      <c r="O41" s="478">
        <f t="shared" si="5"/>
        <v>1.1374690650272745E-2</v>
      </c>
      <c r="P41" s="438">
        <f t="shared" si="5"/>
        <v>1.1374690650272745E-2</v>
      </c>
      <c r="Q41" s="438">
        <f t="shared" si="5"/>
        <v>1.1374690650272745E-2</v>
      </c>
      <c r="R41" s="439">
        <f t="shared" si="3"/>
        <v>1.1374690650272745E-2</v>
      </c>
      <c r="S41" s="480"/>
    </row>
    <row r="42" spans="2:19" ht="15" customHeight="1" x14ac:dyDescent="0.25">
      <c r="B42" s="389">
        <v>1985</v>
      </c>
      <c r="C42" s="474">
        <v>16274.889051051019</v>
      </c>
      <c r="D42" s="475">
        <f t="shared" si="4"/>
        <v>16274.889051051019</v>
      </c>
      <c r="E42" s="475">
        <f t="shared" si="4"/>
        <v>16274.889051051019</v>
      </c>
      <c r="F42" s="475">
        <f t="shared" si="4"/>
        <v>16274.889051051019</v>
      </c>
      <c r="G42" s="477">
        <f>C42*Prix!C$73/Prix!C42</f>
        <v>28173.810007504599</v>
      </c>
      <c r="H42" s="475">
        <f>D42*Prix!D$73/Prix!D42</f>
        <v>28173.810007504599</v>
      </c>
      <c r="I42" s="475">
        <f>E42*Prix!E$73/Prix!E42</f>
        <v>28173.810007504599</v>
      </c>
      <c r="J42" s="475">
        <f>F42*Prix!F$73/Prix!F42</f>
        <v>28173.810007504599</v>
      </c>
      <c r="K42" s="478">
        <f t="shared" si="5"/>
        <v>7.1716078759120006E-2</v>
      </c>
      <c r="L42" s="438">
        <f t="shared" si="5"/>
        <v>7.1716078759120006E-2</v>
      </c>
      <c r="M42" s="438">
        <f t="shared" si="5"/>
        <v>7.1716078759120006E-2</v>
      </c>
      <c r="N42" s="438">
        <f t="shared" si="5"/>
        <v>7.1716078759120006E-2</v>
      </c>
      <c r="O42" s="478">
        <f t="shared" si="5"/>
        <v>1.2824474638608363E-2</v>
      </c>
      <c r="P42" s="438">
        <f t="shared" si="5"/>
        <v>1.2824474638608363E-2</v>
      </c>
      <c r="Q42" s="438">
        <f t="shared" si="5"/>
        <v>1.2824474638608363E-2</v>
      </c>
      <c r="R42" s="439">
        <f t="shared" si="3"/>
        <v>1.2824474638608363E-2</v>
      </c>
      <c r="S42" s="480"/>
    </row>
    <row r="43" spans="2:19" ht="15" customHeight="1" x14ac:dyDescent="0.25">
      <c r="B43" s="389">
        <v>1986</v>
      </c>
      <c r="C43" s="474">
        <v>17106.734422806407</v>
      </c>
      <c r="D43" s="475">
        <f t="shared" si="4"/>
        <v>17106.734422806407</v>
      </c>
      <c r="E43" s="475">
        <f t="shared" si="4"/>
        <v>17106.734422806407</v>
      </c>
      <c r="F43" s="475">
        <f t="shared" si="4"/>
        <v>17106.734422806407</v>
      </c>
      <c r="G43" s="477">
        <f>C43*Prix!C$73/Prix!C43</f>
        <v>28846.198526792559</v>
      </c>
      <c r="H43" s="475">
        <f>D43*Prix!D$73/Prix!D43</f>
        <v>28846.198526792559</v>
      </c>
      <c r="I43" s="475">
        <f>E43*Prix!E$73/Prix!E43</f>
        <v>28846.198526792559</v>
      </c>
      <c r="J43" s="475">
        <f>F43*Prix!F$73/Prix!F43</f>
        <v>28846.198526792559</v>
      </c>
      <c r="K43" s="478">
        <f t="shared" si="5"/>
        <v>5.1112199238105838E-2</v>
      </c>
      <c r="L43" s="438">
        <f t="shared" si="5"/>
        <v>5.1112199238105838E-2</v>
      </c>
      <c r="M43" s="438">
        <f t="shared" si="5"/>
        <v>5.1112199238105838E-2</v>
      </c>
      <c r="N43" s="438">
        <f t="shared" si="5"/>
        <v>5.1112199238105838E-2</v>
      </c>
      <c r="O43" s="478">
        <f t="shared" si="5"/>
        <v>2.3865729168644823E-2</v>
      </c>
      <c r="P43" s="438">
        <f t="shared" si="5"/>
        <v>2.3865729168644823E-2</v>
      </c>
      <c r="Q43" s="438">
        <f t="shared" si="5"/>
        <v>2.3865729168644823E-2</v>
      </c>
      <c r="R43" s="439">
        <f t="shared" si="3"/>
        <v>2.3865729168644823E-2</v>
      </c>
      <c r="S43" s="480"/>
    </row>
    <row r="44" spans="2:19" ht="15" customHeight="1" x14ac:dyDescent="0.25">
      <c r="B44" s="389">
        <v>1987</v>
      </c>
      <c r="C44" s="474">
        <v>17810.672980756903</v>
      </c>
      <c r="D44" s="475">
        <f t="shared" si="4"/>
        <v>17810.672980756903</v>
      </c>
      <c r="E44" s="475">
        <f t="shared" si="4"/>
        <v>17810.672980756903</v>
      </c>
      <c r="F44" s="475">
        <f t="shared" si="4"/>
        <v>17810.672980756903</v>
      </c>
      <c r="G44" s="477">
        <f>C44*Prix!C$73/Prix!C44</f>
        <v>29116.730078528501</v>
      </c>
      <c r="H44" s="475">
        <f>D44*Prix!D$73/Prix!D44</f>
        <v>29116.730078528501</v>
      </c>
      <c r="I44" s="475">
        <f>E44*Prix!E$73/Prix!E44</f>
        <v>29116.730078528501</v>
      </c>
      <c r="J44" s="475">
        <f>F44*Prix!F$73/Prix!F44</f>
        <v>29116.730078528501</v>
      </c>
      <c r="K44" s="478">
        <f t="shared" si="5"/>
        <v>4.1149791687419723E-2</v>
      </c>
      <c r="L44" s="438">
        <f t="shared" si="5"/>
        <v>4.1149791687419723E-2</v>
      </c>
      <c r="M44" s="438">
        <f t="shared" si="5"/>
        <v>4.1149791687419723E-2</v>
      </c>
      <c r="N44" s="438">
        <f t="shared" si="5"/>
        <v>4.1149791687419723E-2</v>
      </c>
      <c r="O44" s="478">
        <f t="shared" si="5"/>
        <v>9.3784126003524371E-3</v>
      </c>
      <c r="P44" s="438">
        <f t="shared" si="5"/>
        <v>9.3784126003524371E-3</v>
      </c>
      <c r="Q44" s="438">
        <f t="shared" si="5"/>
        <v>9.3784126003524371E-3</v>
      </c>
      <c r="R44" s="439">
        <f t="shared" si="3"/>
        <v>9.3784126003524371E-3</v>
      </c>
      <c r="S44" s="480"/>
    </row>
    <row r="45" spans="2:19" ht="15" customHeight="1" x14ac:dyDescent="0.25">
      <c r="B45" s="389">
        <v>1988</v>
      </c>
      <c r="C45" s="474">
        <v>18349.563447244156</v>
      </c>
      <c r="D45" s="475">
        <f t="shared" si="4"/>
        <v>18349.563447244156</v>
      </c>
      <c r="E45" s="475">
        <f t="shared" si="4"/>
        <v>18349.563447244156</v>
      </c>
      <c r="F45" s="475">
        <f t="shared" si="4"/>
        <v>18349.563447244156</v>
      </c>
      <c r="G45" s="477">
        <f>C45*Prix!C$73/Prix!C45</f>
        <v>29211.175371760997</v>
      </c>
      <c r="H45" s="475">
        <f>D45*Prix!D$73/Prix!D45</f>
        <v>29211.175371760997</v>
      </c>
      <c r="I45" s="475">
        <f>E45*Prix!E$73/Prix!E45</f>
        <v>29211.175371760997</v>
      </c>
      <c r="J45" s="475">
        <f>F45*Prix!F$73/Prix!F45</f>
        <v>29211.175371760997</v>
      </c>
      <c r="K45" s="478">
        <f t="shared" si="5"/>
        <v>3.0256603277679872E-2</v>
      </c>
      <c r="L45" s="438">
        <f t="shared" si="5"/>
        <v>3.0256603277679872E-2</v>
      </c>
      <c r="M45" s="438">
        <f t="shared" si="5"/>
        <v>3.0256603277679872E-2</v>
      </c>
      <c r="N45" s="438">
        <f t="shared" si="5"/>
        <v>3.0256603277679872E-2</v>
      </c>
      <c r="O45" s="478">
        <f t="shared" si="5"/>
        <v>3.2436778778996977E-3</v>
      </c>
      <c r="P45" s="438">
        <f t="shared" si="5"/>
        <v>3.2436778778996977E-3</v>
      </c>
      <c r="Q45" s="438">
        <f t="shared" si="5"/>
        <v>3.2436778778996977E-3</v>
      </c>
      <c r="R45" s="439">
        <f t="shared" si="3"/>
        <v>3.2436778778996977E-3</v>
      </c>
      <c r="S45" s="480"/>
    </row>
    <row r="46" spans="2:19" ht="15" customHeight="1" x14ac:dyDescent="0.25">
      <c r="B46" s="389">
        <v>1989</v>
      </c>
      <c r="C46" s="474">
        <v>19100.316486248128</v>
      </c>
      <c r="D46" s="475">
        <f t="shared" si="4"/>
        <v>19100.316486248128</v>
      </c>
      <c r="E46" s="475">
        <f t="shared" si="4"/>
        <v>19100.316486248128</v>
      </c>
      <c r="F46" s="475">
        <f t="shared" si="4"/>
        <v>19100.316486248128</v>
      </c>
      <c r="G46" s="477">
        <f>C46*Prix!C$73/Prix!C46</f>
        <v>29347.694871048119</v>
      </c>
      <c r="H46" s="475">
        <f>D46*Prix!D$73/Prix!D46</f>
        <v>29347.694871048119</v>
      </c>
      <c r="I46" s="475">
        <f>E46*Prix!E$73/Prix!E46</f>
        <v>29347.694871048119</v>
      </c>
      <c r="J46" s="475">
        <f>F46*Prix!F$73/Prix!F46</f>
        <v>29347.694871048119</v>
      </c>
      <c r="K46" s="478">
        <f t="shared" si="5"/>
        <v>4.091394550951688E-2</v>
      </c>
      <c r="L46" s="438">
        <f t="shared" si="5"/>
        <v>4.091394550951688E-2</v>
      </c>
      <c r="M46" s="438">
        <f t="shared" si="5"/>
        <v>4.091394550951688E-2</v>
      </c>
      <c r="N46" s="438">
        <f t="shared" si="5"/>
        <v>4.091394550951688E-2</v>
      </c>
      <c r="O46" s="478">
        <f t="shared" si="5"/>
        <v>4.6735366704586667E-3</v>
      </c>
      <c r="P46" s="438">
        <f t="shared" si="5"/>
        <v>4.6735366704586667E-3</v>
      </c>
      <c r="Q46" s="438">
        <f t="shared" si="5"/>
        <v>4.6735366704586667E-3</v>
      </c>
      <c r="R46" s="439">
        <f t="shared" si="3"/>
        <v>4.6735366704586667E-3</v>
      </c>
      <c r="S46" s="480"/>
    </row>
    <row r="47" spans="2:19" ht="15" customHeight="1" x14ac:dyDescent="0.25">
      <c r="B47" s="389">
        <v>1990</v>
      </c>
      <c r="C47" s="474">
        <v>19978.723546884685</v>
      </c>
      <c r="D47" s="475">
        <f t="shared" si="4"/>
        <v>19978.723546884685</v>
      </c>
      <c r="E47" s="475">
        <f t="shared" si="4"/>
        <v>19978.723546884685</v>
      </c>
      <c r="F47" s="475">
        <f t="shared" si="4"/>
        <v>19978.723546884685</v>
      </c>
      <c r="G47" s="477">
        <f>C47*Prix!C$73/Prix!C47</f>
        <v>29695.378708114356</v>
      </c>
      <c r="H47" s="475">
        <f>D47*Prix!D$73/Prix!D47</f>
        <v>29695.378708114356</v>
      </c>
      <c r="I47" s="475">
        <f>E47*Prix!E$73/Prix!E47</f>
        <v>29695.378708114356</v>
      </c>
      <c r="J47" s="475">
        <f>F47*Prix!F$73/Prix!F47</f>
        <v>29695.378708114356</v>
      </c>
      <c r="K47" s="478">
        <f t="shared" si="5"/>
        <v>4.598913642446667E-2</v>
      </c>
      <c r="L47" s="438">
        <f t="shared" si="5"/>
        <v>4.598913642446667E-2</v>
      </c>
      <c r="M47" s="438">
        <f t="shared" si="5"/>
        <v>4.598913642446667E-2</v>
      </c>
      <c r="N47" s="438">
        <f t="shared" si="5"/>
        <v>4.598913642446667E-2</v>
      </c>
      <c r="O47" s="478">
        <f t="shared" si="5"/>
        <v>1.1847057787466309E-2</v>
      </c>
      <c r="P47" s="438">
        <f t="shared" si="5"/>
        <v>1.1847057787466309E-2</v>
      </c>
      <c r="Q47" s="438">
        <f t="shared" si="5"/>
        <v>1.1847057787466309E-2</v>
      </c>
      <c r="R47" s="439">
        <f t="shared" si="3"/>
        <v>1.1847057787466309E-2</v>
      </c>
      <c r="S47" s="480"/>
    </row>
    <row r="48" spans="2:19" ht="15" customHeight="1" x14ac:dyDescent="0.25">
      <c r="B48" s="389">
        <v>1991</v>
      </c>
      <c r="C48" s="474">
        <v>21003.481664069153</v>
      </c>
      <c r="D48" s="475">
        <f t="shared" si="4"/>
        <v>21003.481664069153</v>
      </c>
      <c r="E48" s="475">
        <f t="shared" si="4"/>
        <v>21003.481664069153</v>
      </c>
      <c r="F48" s="475">
        <f t="shared" si="4"/>
        <v>21003.481664069153</v>
      </c>
      <c r="G48" s="477">
        <f>C48*Prix!C$73/Prix!C48</f>
        <v>30231.735533138621</v>
      </c>
      <c r="H48" s="475">
        <f>D48*Prix!D$73/Prix!D48</f>
        <v>30231.735533138621</v>
      </c>
      <c r="I48" s="475">
        <f>E48*Prix!E$73/Prix!E48</f>
        <v>30231.735533138621</v>
      </c>
      <c r="J48" s="475">
        <f>F48*Prix!F$73/Prix!F48</f>
        <v>30231.735533138621</v>
      </c>
      <c r="K48" s="478">
        <f t="shared" si="5"/>
        <v>5.1292471952957275E-2</v>
      </c>
      <c r="L48" s="438">
        <f t="shared" si="5"/>
        <v>5.1292471952957275E-2</v>
      </c>
      <c r="M48" s="438">
        <f t="shared" si="5"/>
        <v>5.1292471952957275E-2</v>
      </c>
      <c r="N48" s="438">
        <f t="shared" si="5"/>
        <v>5.1292471952957275E-2</v>
      </c>
      <c r="O48" s="478">
        <f t="shared" si="5"/>
        <v>1.8061962782030649E-2</v>
      </c>
      <c r="P48" s="438">
        <f t="shared" si="5"/>
        <v>1.8061962782030649E-2</v>
      </c>
      <c r="Q48" s="438">
        <f t="shared" si="5"/>
        <v>1.8061962782030649E-2</v>
      </c>
      <c r="R48" s="439">
        <f t="shared" si="3"/>
        <v>1.8061962782030649E-2</v>
      </c>
      <c r="S48" s="480"/>
    </row>
    <row r="49" spans="2:19" ht="15" customHeight="1" x14ac:dyDescent="0.25">
      <c r="B49" s="389">
        <v>1992</v>
      </c>
      <c r="C49" s="474">
        <v>21972.351896217107</v>
      </c>
      <c r="D49" s="475">
        <f t="shared" si="4"/>
        <v>21972.351896217107</v>
      </c>
      <c r="E49" s="475">
        <f t="shared" si="4"/>
        <v>21972.351896217107</v>
      </c>
      <c r="F49" s="475">
        <f t="shared" si="4"/>
        <v>21972.351896217107</v>
      </c>
      <c r="G49" s="477">
        <f>C49*Prix!C$73/Prix!C49</f>
        <v>30915.592878694239</v>
      </c>
      <c r="H49" s="475">
        <f>D49*Prix!D$73/Prix!D49</f>
        <v>30915.592878694239</v>
      </c>
      <c r="I49" s="475">
        <f>E49*Prix!E$73/Prix!E49</f>
        <v>30915.592878694239</v>
      </c>
      <c r="J49" s="475">
        <f>F49*Prix!F$73/Prix!F49</f>
        <v>30915.592878694239</v>
      </c>
      <c r="K49" s="478">
        <f t="shared" si="5"/>
        <v>4.6129029826774248E-2</v>
      </c>
      <c r="L49" s="438">
        <f t="shared" si="5"/>
        <v>4.6129029826774248E-2</v>
      </c>
      <c r="M49" s="438">
        <f t="shared" si="5"/>
        <v>4.6129029826774248E-2</v>
      </c>
      <c r="N49" s="438">
        <f t="shared" si="5"/>
        <v>4.6129029826774248E-2</v>
      </c>
      <c r="O49" s="478">
        <f t="shared" si="5"/>
        <v>2.2620512302577112E-2</v>
      </c>
      <c r="P49" s="438">
        <f t="shared" si="5"/>
        <v>2.2620512302577112E-2</v>
      </c>
      <c r="Q49" s="438">
        <f t="shared" si="5"/>
        <v>2.2620512302577112E-2</v>
      </c>
      <c r="R49" s="439">
        <f t="shared" si="3"/>
        <v>2.2620512302577112E-2</v>
      </c>
      <c r="S49" s="480"/>
    </row>
    <row r="50" spans="2:19" ht="15" customHeight="1" x14ac:dyDescent="0.25">
      <c r="B50" s="389">
        <v>1993</v>
      </c>
      <c r="C50" s="474">
        <v>22841.791270940517</v>
      </c>
      <c r="D50" s="475">
        <f t="shared" si="4"/>
        <v>22841.791270940517</v>
      </c>
      <c r="E50" s="475">
        <f t="shared" si="4"/>
        <v>22841.791270940517</v>
      </c>
      <c r="F50" s="475">
        <f t="shared" si="4"/>
        <v>22841.791270940517</v>
      </c>
      <c r="G50" s="477">
        <f>C50*Prix!C$73/Prix!C50</f>
        <v>31475.799855884747</v>
      </c>
      <c r="H50" s="475">
        <f>D50*Prix!D$73/Prix!D50</f>
        <v>31475.799855884747</v>
      </c>
      <c r="I50" s="475">
        <f>E50*Prix!E$73/Prix!E50</f>
        <v>31475.799855884747</v>
      </c>
      <c r="J50" s="475">
        <f>F50*Prix!F$73/Prix!F50</f>
        <v>31475.799855884747</v>
      </c>
      <c r="K50" s="478">
        <f t="shared" si="5"/>
        <v>3.9569700086275139E-2</v>
      </c>
      <c r="L50" s="438">
        <f t="shared" si="5"/>
        <v>3.9569700086275139E-2</v>
      </c>
      <c r="M50" s="438">
        <f t="shared" si="5"/>
        <v>3.9569700086275139E-2</v>
      </c>
      <c r="N50" s="438">
        <f t="shared" si="5"/>
        <v>3.9569700086275139E-2</v>
      </c>
      <c r="O50" s="478">
        <f t="shared" si="5"/>
        <v>1.8120531583807331E-2</v>
      </c>
      <c r="P50" s="438">
        <f t="shared" si="5"/>
        <v>1.8120531583807331E-2</v>
      </c>
      <c r="Q50" s="438">
        <f t="shared" si="5"/>
        <v>1.8120531583807331E-2</v>
      </c>
      <c r="R50" s="439">
        <f t="shared" si="3"/>
        <v>1.8120531583807331E-2</v>
      </c>
      <c r="S50" s="480"/>
    </row>
    <row r="51" spans="2:19" ht="15" customHeight="1" x14ac:dyDescent="0.25">
      <c r="B51" s="389">
        <v>1994</v>
      </c>
      <c r="C51" s="474">
        <v>23344.196404788563</v>
      </c>
      <c r="D51" s="475">
        <f t="shared" si="4"/>
        <v>23344.196404788563</v>
      </c>
      <c r="E51" s="475">
        <f t="shared" si="4"/>
        <v>23344.196404788563</v>
      </c>
      <c r="F51" s="475">
        <f t="shared" si="4"/>
        <v>23344.196404788563</v>
      </c>
      <c r="G51" s="477">
        <f>C51*Prix!C$73/Prix!C51</f>
        <v>31645.759077560459</v>
      </c>
      <c r="H51" s="475">
        <f>D51*Prix!D$73/Prix!D51</f>
        <v>31645.759077560459</v>
      </c>
      <c r="I51" s="475">
        <f>E51*Prix!E$73/Prix!E51</f>
        <v>31645.759077560459</v>
      </c>
      <c r="J51" s="475">
        <f>F51*Prix!F$73/Prix!F51</f>
        <v>31645.759077560459</v>
      </c>
      <c r="K51" s="478">
        <f t="shared" si="5"/>
        <v>2.199499714749642E-2</v>
      </c>
      <c r="L51" s="438">
        <f t="shared" si="5"/>
        <v>2.199499714749642E-2</v>
      </c>
      <c r="M51" s="438">
        <f t="shared" si="5"/>
        <v>2.199499714749642E-2</v>
      </c>
      <c r="N51" s="438">
        <f t="shared" si="5"/>
        <v>2.199499714749642E-2</v>
      </c>
      <c r="O51" s="478">
        <f t="shared" si="5"/>
        <v>5.399679196522067E-3</v>
      </c>
      <c r="P51" s="438">
        <f t="shared" si="5"/>
        <v>5.399679196522067E-3</v>
      </c>
      <c r="Q51" s="438">
        <f t="shared" si="5"/>
        <v>5.399679196522067E-3</v>
      </c>
      <c r="R51" s="439">
        <f t="shared" si="3"/>
        <v>5.399679196522067E-3</v>
      </c>
      <c r="S51" s="480"/>
    </row>
    <row r="52" spans="2:19" ht="15" customHeight="1" x14ac:dyDescent="0.25">
      <c r="B52" s="389">
        <v>1995</v>
      </c>
      <c r="C52" s="474">
        <v>23773.877092386254</v>
      </c>
      <c r="D52" s="475">
        <f t="shared" si="4"/>
        <v>23773.877092386254</v>
      </c>
      <c r="E52" s="475">
        <f t="shared" si="4"/>
        <v>23773.877092386254</v>
      </c>
      <c r="F52" s="475">
        <f t="shared" si="4"/>
        <v>23773.877092386254</v>
      </c>
      <c r="G52" s="477">
        <f>C52*Prix!C$73/Prix!C52</f>
        <v>31629.043919193289</v>
      </c>
      <c r="H52" s="475">
        <f>D52*Prix!D$73/Prix!D52</f>
        <v>31629.043919193289</v>
      </c>
      <c r="I52" s="475">
        <f>E52*Prix!E$73/Prix!E52</f>
        <v>31629.043919193289</v>
      </c>
      <c r="J52" s="475">
        <f>F52*Prix!F$73/Prix!F52</f>
        <v>31629.043919193289</v>
      </c>
      <c r="K52" s="478">
        <f t="shared" si="5"/>
        <v>1.8406317362440916E-2</v>
      </c>
      <c r="L52" s="438">
        <f t="shared" si="5"/>
        <v>1.8406317362440916E-2</v>
      </c>
      <c r="M52" s="438">
        <f t="shared" si="5"/>
        <v>1.8406317362440916E-2</v>
      </c>
      <c r="N52" s="438">
        <f t="shared" si="5"/>
        <v>1.8406317362440916E-2</v>
      </c>
      <c r="O52" s="478">
        <f t="shared" si="5"/>
        <v>-5.2819584217278504E-4</v>
      </c>
      <c r="P52" s="438">
        <f t="shared" si="5"/>
        <v>-5.2819584217278504E-4</v>
      </c>
      <c r="Q52" s="438">
        <f t="shared" si="5"/>
        <v>-5.2819584217278504E-4</v>
      </c>
      <c r="R52" s="439">
        <f t="shared" si="3"/>
        <v>-5.2819584217278504E-4</v>
      </c>
      <c r="S52" s="480"/>
    </row>
    <row r="53" spans="2:19" ht="15" customHeight="1" x14ac:dyDescent="0.25">
      <c r="B53" s="389">
        <v>1996</v>
      </c>
      <c r="C53" s="474">
        <v>24578.880207986447</v>
      </c>
      <c r="D53" s="475">
        <f t="shared" si="4"/>
        <v>24578.880207986447</v>
      </c>
      <c r="E53" s="475">
        <f t="shared" si="4"/>
        <v>24578.880207986447</v>
      </c>
      <c r="F53" s="475">
        <f t="shared" si="4"/>
        <v>24578.880207986447</v>
      </c>
      <c r="G53" s="477">
        <f>C53*Prix!C$73/Prix!C53</f>
        <v>32061.357021303156</v>
      </c>
      <c r="H53" s="475">
        <f>D53*Prix!D$73/Prix!D53</f>
        <v>32061.357021303156</v>
      </c>
      <c r="I53" s="475">
        <f>E53*Prix!E$73/Prix!E53</f>
        <v>32061.357021303156</v>
      </c>
      <c r="J53" s="475">
        <f>F53*Prix!F$73/Prix!F53</f>
        <v>32061.357021303156</v>
      </c>
      <c r="K53" s="478">
        <f t="shared" si="5"/>
        <v>3.3860826001241628E-2</v>
      </c>
      <c r="L53" s="438">
        <f t="shared" si="5"/>
        <v>3.3860826001241628E-2</v>
      </c>
      <c r="M53" s="438">
        <f t="shared" si="5"/>
        <v>3.3860826001241628E-2</v>
      </c>
      <c r="N53" s="438">
        <f t="shared" si="5"/>
        <v>3.3860826001241628E-2</v>
      </c>
      <c r="O53" s="478">
        <f t="shared" si="5"/>
        <v>1.3668231743404924E-2</v>
      </c>
      <c r="P53" s="438">
        <f t="shared" si="5"/>
        <v>1.3668231743404924E-2</v>
      </c>
      <c r="Q53" s="438">
        <f t="shared" si="5"/>
        <v>1.3668231743404924E-2</v>
      </c>
      <c r="R53" s="439">
        <f t="shared" si="3"/>
        <v>1.3668231743404924E-2</v>
      </c>
      <c r="S53" s="480"/>
    </row>
    <row r="54" spans="2:19" ht="15" customHeight="1" x14ac:dyDescent="0.25">
      <c r="B54" s="389">
        <v>1997</v>
      </c>
      <c r="C54" s="474">
        <v>25099.206197967243</v>
      </c>
      <c r="D54" s="475">
        <f t="shared" si="4"/>
        <v>25099.206197967243</v>
      </c>
      <c r="E54" s="475">
        <f t="shared" si="4"/>
        <v>25099.206197967243</v>
      </c>
      <c r="F54" s="475">
        <f t="shared" si="4"/>
        <v>25099.206197967243</v>
      </c>
      <c r="G54" s="477">
        <f>C54*Prix!C$73/Prix!C54</f>
        <v>32360.855558717612</v>
      </c>
      <c r="H54" s="475">
        <f>D54*Prix!D$73/Prix!D54</f>
        <v>32360.855558717612</v>
      </c>
      <c r="I54" s="475">
        <f>E54*Prix!E$73/Prix!E54</f>
        <v>32360.855558717612</v>
      </c>
      <c r="J54" s="475">
        <f>F54*Prix!F$73/Prix!F54</f>
        <v>32360.855558717612</v>
      </c>
      <c r="K54" s="478">
        <f t="shared" si="5"/>
        <v>2.1169637736861757E-2</v>
      </c>
      <c r="L54" s="438">
        <f t="shared" si="5"/>
        <v>2.1169637736861757E-2</v>
      </c>
      <c r="M54" s="438">
        <f t="shared" si="5"/>
        <v>2.1169637736861757E-2</v>
      </c>
      <c r="N54" s="438">
        <f t="shared" si="5"/>
        <v>2.1169637736861757E-2</v>
      </c>
      <c r="O54" s="478">
        <f t="shared" si="5"/>
        <v>9.3414179947359788E-3</v>
      </c>
      <c r="P54" s="438">
        <f t="shared" si="5"/>
        <v>9.3414179947359788E-3</v>
      </c>
      <c r="Q54" s="438">
        <f t="shared" si="5"/>
        <v>9.3414179947359788E-3</v>
      </c>
      <c r="R54" s="439">
        <f t="shared" si="3"/>
        <v>9.3414179947359788E-3</v>
      </c>
      <c r="S54" s="480"/>
    </row>
    <row r="55" spans="2:19" ht="15" customHeight="1" x14ac:dyDescent="0.25">
      <c r="B55" s="389">
        <v>1998</v>
      </c>
      <c r="C55" s="474">
        <v>25776.079834501346</v>
      </c>
      <c r="D55" s="475">
        <f t="shared" ref="D55:F70" si="6">C55</f>
        <v>25776.079834501346</v>
      </c>
      <c r="E55" s="475">
        <f t="shared" si="6"/>
        <v>25776.079834501346</v>
      </c>
      <c r="F55" s="475">
        <f t="shared" si="6"/>
        <v>25776.079834501346</v>
      </c>
      <c r="G55" s="477">
        <f>C55*Prix!C$73/Prix!C55</f>
        <v>33021.070048853515</v>
      </c>
      <c r="H55" s="475">
        <f>D55*Prix!D$73/Prix!D55</f>
        <v>33021.070048853515</v>
      </c>
      <c r="I55" s="475">
        <f>E55*Prix!E$73/Prix!E55</f>
        <v>33021.070048853515</v>
      </c>
      <c r="J55" s="475">
        <f>F55*Prix!F$73/Prix!F55</f>
        <v>33021.070048853515</v>
      </c>
      <c r="K55" s="478">
        <f t="shared" si="5"/>
        <v>2.6967930029154541E-2</v>
      </c>
      <c r="L55" s="438">
        <f t="shared" si="5"/>
        <v>2.6967930029154541E-2</v>
      </c>
      <c r="M55" s="438">
        <f t="shared" si="5"/>
        <v>2.6967930029154541E-2</v>
      </c>
      <c r="N55" s="438">
        <f t="shared" si="5"/>
        <v>2.6967930029154541E-2</v>
      </c>
      <c r="O55" s="478">
        <f t="shared" si="5"/>
        <v>2.0401638916436093E-2</v>
      </c>
      <c r="P55" s="438">
        <f t="shared" si="5"/>
        <v>2.0401638916436093E-2</v>
      </c>
      <c r="Q55" s="438">
        <f t="shared" si="5"/>
        <v>2.0401638916436093E-2</v>
      </c>
      <c r="R55" s="439">
        <f t="shared" si="3"/>
        <v>2.0401638916436093E-2</v>
      </c>
      <c r="S55" s="480"/>
    </row>
    <row r="56" spans="2:19" ht="15" customHeight="1" x14ac:dyDescent="0.25">
      <c r="B56" s="389">
        <v>1999</v>
      </c>
      <c r="C56" s="474">
        <v>26471.24735310394</v>
      </c>
      <c r="D56" s="475">
        <f t="shared" si="6"/>
        <v>26471.24735310394</v>
      </c>
      <c r="E56" s="475">
        <f t="shared" si="6"/>
        <v>26471.24735310394</v>
      </c>
      <c r="F56" s="475">
        <f t="shared" si="6"/>
        <v>26471.24735310394</v>
      </c>
      <c r="G56" s="477">
        <f>C56*Prix!C$73/Prix!C56</f>
        <v>33739.052924096097</v>
      </c>
      <c r="H56" s="475">
        <f>D56*Prix!D$73/Prix!D56</f>
        <v>33739.052924096097</v>
      </c>
      <c r="I56" s="475">
        <f>E56*Prix!E$73/Prix!E56</f>
        <v>33739.052924096097</v>
      </c>
      <c r="J56" s="475">
        <f>F56*Prix!F$73/Prix!F56</f>
        <v>33739.052924096097</v>
      </c>
      <c r="K56" s="478">
        <f t="shared" si="5"/>
        <v>2.6969481902058279E-2</v>
      </c>
      <c r="L56" s="438">
        <f t="shared" si="5"/>
        <v>2.6969481902058279E-2</v>
      </c>
      <c r="M56" s="438">
        <f t="shared" si="5"/>
        <v>2.6969481902058279E-2</v>
      </c>
      <c r="N56" s="438">
        <f t="shared" si="5"/>
        <v>2.6969481902058279E-2</v>
      </c>
      <c r="O56" s="478">
        <f t="shared" si="5"/>
        <v>2.1743174106119367E-2</v>
      </c>
      <c r="P56" s="438">
        <f t="shared" si="5"/>
        <v>2.1743174106119367E-2</v>
      </c>
      <c r="Q56" s="438">
        <f t="shared" si="5"/>
        <v>2.1743174106119367E-2</v>
      </c>
      <c r="R56" s="439">
        <f t="shared" si="3"/>
        <v>2.1743174106119367E-2</v>
      </c>
      <c r="S56" s="480"/>
    </row>
    <row r="57" spans="2:19" ht="15" customHeight="1" x14ac:dyDescent="0.25">
      <c r="B57" s="389">
        <v>2000</v>
      </c>
      <c r="C57" s="474">
        <v>26892.006640679192</v>
      </c>
      <c r="D57" s="475">
        <f t="shared" si="6"/>
        <v>26892.006640679192</v>
      </c>
      <c r="E57" s="475">
        <f t="shared" si="6"/>
        <v>26892.006640679192</v>
      </c>
      <c r="F57" s="475">
        <f t="shared" si="6"/>
        <v>26892.006640679192</v>
      </c>
      <c r="G57" s="477">
        <f>C57*Prix!C$73/Prix!C57</f>
        <v>33717.662393782746</v>
      </c>
      <c r="H57" s="475">
        <f>D57*Prix!D$73/Prix!D57</f>
        <v>33717.662393782746</v>
      </c>
      <c r="I57" s="475">
        <f>E57*Prix!E$73/Prix!E57</f>
        <v>33717.662393782746</v>
      </c>
      <c r="J57" s="475">
        <f>F57*Prix!F$73/Prix!F57</f>
        <v>33717.662393782746</v>
      </c>
      <c r="K57" s="478">
        <f t="shared" si="5"/>
        <v>1.5894955079474693E-2</v>
      </c>
      <c r="L57" s="438">
        <f t="shared" si="5"/>
        <v>1.5894955079474693E-2</v>
      </c>
      <c r="M57" s="438">
        <f t="shared" si="5"/>
        <v>1.5894955079474693E-2</v>
      </c>
      <c r="N57" s="438">
        <f t="shared" si="5"/>
        <v>1.5894955079474693E-2</v>
      </c>
      <c r="O57" s="478">
        <f t="shared" si="5"/>
        <v>-6.3399913333295199E-4</v>
      </c>
      <c r="P57" s="438">
        <f t="shared" si="5"/>
        <v>-6.3399913333295199E-4</v>
      </c>
      <c r="Q57" s="438">
        <f t="shared" si="5"/>
        <v>-6.3399913333295199E-4</v>
      </c>
      <c r="R57" s="439">
        <f t="shared" si="3"/>
        <v>-6.3399913333295199E-4</v>
      </c>
      <c r="S57" s="480"/>
    </row>
    <row r="58" spans="2:19" ht="15" customHeight="1" x14ac:dyDescent="0.25">
      <c r="B58" s="389">
        <v>2001</v>
      </c>
      <c r="C58" s="474">
        <v>27349.353692391422</v>
      </c>
      <c r="D58" s="475">
        <f t="shared" si="6"/>
        <v>27349.353692391422</v>
      </c>
      <c r="E58" s="475">
        <f t="shared" si="6"/>
        <v>27349.353692391422</v>
      </c>
      <c r="F58" s="475">
        <f t="shared" si="6"/>
        <v>27349.353692391422</v>
      </c>
      <c r="G58" s="477">
        <f>C58*Prix!C$73/Prix!C58</f>
        <v>33742.09671063759</v>
      </c>
      <c r="H58" s="475">
        <f>D58*Prix!D$73/Prix!D58</f>
        <v>33742.09671063759</v>
      </c>
      <c r="I58" s="475">
        <f>E58*Prix!E$73/Prix!E58</f>
        <v>33742.09671063759</v>
      </c>
      <c r="J58" s="475">
        <f>F58*Prix!F$73/Prix!F58</f>
        <v>33742.09671063759</v>
      </c>
      <c r="K58" s="478">
        <f t="shared" si="5"/>
        <v>1.7006802721088343E-2</v>
      </c>
      <c r="L58" s="438">
        <f t="shared" si="5"/>
        <v>1.7006802721088343E-2</v>
      </c>
      <c r="M58" s="438">
        <f t="shared" si="5"/>
        <v>1.7006802721088343E-2</v>
      </c>
      <c r="N58" s="438">
        <f t="shared" si="5"/>
        <v>1.7006802721088343E-2</v>
      </c>
      <c r="O58" s="478">
        <f t="shared" si="5"/>
        <v>7.2467410609555749E-4</v>
      </c>
      <c r="P58" s="438">
        <f t="shared" si="5"/>
        <v>7.2467410609555749E-4</v>
      </c>
      <c r="Q58" s="438">
        <f t="shared" si="5"/>
        <v>7.2467410609555749E-4</v>
      </c>
      <c r="R58" s="439">
        <f t="shared" si="3"/>
        <v>7.2467410609555749E-4</v>
      </c>
      <c r="S58" s="480"/>
    </row>
    <row r="59" spans="2:19" ht="15" customHeight="1" x14ac:dyDescent="0.25">
      <c r="B59" s="389">
        <v>2002</v>
      </c>
      <c r="C59" s="474">
        <v>28224</v>
      </c>
      <c r="D59" s="475">
        <f t="shared" si="6"/>
        <v>28224</v>
      </c>
      <c r="E59" s="475">
        <f t="shared" si="6"/>
        <v>28224</v>
      </c>
      <c r="F59" s="475">
        <f t="shared" si="6"/>
        <v>28224</v>
      </c>
      <c r="G59" s="477">
        <f>C59*Prix!C$73/Prix!C59</f>
        <v>34148.313043478265</v>
      </c>
      <c r="H59" s="475">
        <f>D59*Prix!D$73/Prix!D59</f>
        <v>34148.313043478265</v>
      </c>
      <c r="I59" s="475">
        <f>E59*Prix!E$73/Prix!E59</f>
        <v>34148.313043478265</v>
      </c>
      <c r="J59" s="475">
        <f>F59*Prix!F$73/Prix!F59</f>
        <v>34148.313043478265</v>
      </c>
      <c r="K59" s="478">
        <f t="shared" si="5"/>
        <v>3.1980511036789228E-2</v>
      </c>
      <c r="L59" s="438">
        <f t="shared" si="5"/>
        <v>3.1980511036789228E-2</v>
      </c>
      <c r="M59" s="438">
        <f t="shared" si="5"/>
        <v>3.1980511036789228E-2</v>
      </c>
      <c r="N59" s="438">
        <f t="shared" si="5"/>
        <v>3.1980511036789228E-2</v>
      </c>
      <c r="O59" s="478">
        <f t="shared" si="5"/>
        <v>1.2038858649605189E-2</v>
      </c>
      <c r="P59" s="438">
        <f t="shared" si="5"/>
        <v>1.2038858649605189E-2</v>
      </c>
      <c r="Q59" s="438">
        <f t="shared" si="5"/>
        <v>1.2038858649605189E-2</v>
      </c>
      <c r="R59" s="439">
        <f t="shared" si="3"/>
        <v>1.2038858649605189E-2</v>
      </c>
      <c r="S59" s="480"/>
    </row>
    <row r="60" spans="2:19" ht="15" customHeight="1" x14ac:dyDescent="0.25">
      <c r="B60" s="389">
        <v>2003</v>
      </c>
      <c r="C60" s="474">
        <v>29184</v>
      </c>
      <c r="D60" s="475">
        <f t="shared" si="6"/>
        <v>29184</v>
      </c>
      <c r="E60" s="475">
        <f t="shared" si="6"/>
        <v>29184</v>
      </c>
      <c r="F60" s="475">
        <f t="shared" si="6"/>
        <v>29184</v>
      </c>
      <c r="G60" s="477">
        <f>C60*Prix!C$73/Prix!C60</f>
        <v>34599.445207100594</v>
      </c>
      <c r="H60" s="475">
        <f>D60*Prix!D$73/Prix!D60</f>
        <v>34599.445207100594</v>
      </c>
      <c r="I60" s="475">
        <f>E60*Prix!E$73/Prix!E60</f>
        <v>34599.445207100594</v>
      </c>
      <c r="J60" s="475">
        <f>F60*Prix!F$73/Prix!F60</f>
        <v>34599.445207100594</v>
      </c>
      <c r="K60" s="478">
        <f t="shared" si="5"/>
        <v>3.4013605442176909E-2</v>
      </c>
      <c r="L60" s="438">
        <f t="shared" si="5"/>
        <v>3.4013605442176909E-2</v>
      </c>
      <c r="M60" s="438">
        <f t="shared" si="5"/>
        <v>3.4013605442176909E-2</v>
      </c>
      <c r="N60" s="438">
        <f t="shared" si="5"/>
        <v>3.4013605442176909E-2</v>
      </c>
      <c r="O60" s="478">
        <f t="shared" si="5"/>
        <v>1.3210964859316388E-2</v>
      </c>
      <c r="P60" s="438">
        <f t="shared" si="5"/>
        <v>1.3210964859316388E-2</v>
      </c>
      <c r="Q60" s="438">
        <f t="shared" si="5"/>
        <v>1.3210964859316388E-2</v>
      </c>
      <c r="R60" s="439">
        <f t="shared" si="3"/>
        <v>1.3210964859316388E-2</v>
      </c>
      <c r="S60" s="480"/>
    </row>
    <row r="61" spans="2:19" ht="15" customHeight="1" x14ac:dyDescent="0.25">
      <c r="B61" s="389">
        <v>2004</v>
      </c>
      <c r="C61" s="474">
        <v>29712</v>
      </c>
      <c r="D61" s="475">
        <f t="shared" si="6"/>
        <v>29712</v>
      </c>
      <c r="E61" s="475">
        <f t="shared" si="6"/>
        <v>29712</v>
      </c>
      <c r="F61" s="475">
        <f t="shared" si="6"/>
        <v>29712</v>
      </c>
      <c r="G61" s="477">
        <f>C61*Prix!C$73/Prix!C61</f>
        <v>34490.708690614134</v>
      </c>
      <c r="H61" s="475">
        <f>D61*Prix!D$73/Prix!D61</f>
        <v>34490.708690614134</v>
      </c>
      <c r="I61" s="475">
        <f>E61*Prix!E$73/Prix!E61</f>
        <v>34490.708690614134</v>
      </c>
      <c r="J61" s="475">
        <f>F61*Prix!F$73/Prix!F61</f>
        <v>34490.708690614134</v>
      </c>
      <c r="K61" s="478">
        <f t="shared" si="5"/>
        <v>1.8092105263157965E-2</v>
      </c>
      <c r="L61" s="438">
        <f t="shared" si="5"/>
        <v>1.8092105263157965E-2</v>
      </c>
      <c r="M61" s="438">
        <f t="shared" si="5"/>
        <v>1.8092105263157965E-2</v>
      </c>
      <c r="N61" s="438">
        <f t="shared" si="5"/>
        <v>1.8092105263157965E-2</v>
      </c>
      <c r="O61" s="478">
        <f t="shared" si="5"/>
        <v>-3.1427242788316656E-3</v>
      </c>
      <c r="P61" s="438">
        <f t="shared" si="5"/>
        <v>-3.1427242788316656E-3</v>
      </c>
      <c r="Q61" s="438">
        <f t="shared" si="5"/>
        <v>-3.1427242788316656E-3</v>
      </c>
      <c r="R61" s="439">
        <f t="shared" si="3"/>
        <v>-3.1427242788316656E-3</v>
      </c>
      <c r="S61" s="480"/>
    </row>
    <row r="62" spans="2:19" ht="15" customHeight="1" x14ac:dyDescent="0.25">
      <c r="B62" s="389">
        <v>2005</v>
      </c>
      <c r="C62" s="474">
        <v>30192</v>
      </c>
      <c r="D62" s="475">
        <f t="shared" si="6"/>
        <v>30192</v>
      </c>
      <c r="E62" s="475">
        <f t="shared" si="6"/>
        <v>30192</v>
      </c>
      <c r="F62" s="475">
        <f t="shared" si="6"/>
        <v>30192</v>
      </c>
      <c r="G62" s="477">
        <f>C62*Prix!C$73/Prix!C62</f>
        <v>34409.949488054604</v>
      </c>
      <c r="H62" s="475">
        <f>D62*Prix!D$73/Prix!D62</f>
        <v>34409.949488054604</v>
      </c>
      <c r="I62" s="475">
        <f>E62*Prix!E$73/Prix!E62</f>
        <v>34409.949488054604</v>
      </c>
      <c r="J62" s="475">
        <f>F62*Prix!F$73/Prix!F62</f>
        <v>34409.949488054604</v>
      </c>
      <c r="K62" s="478">
        <f t="shared" si="5"/>
        <v>1.6155088852988664E-2</v>
      </c>
      <c r="L62" s="438">
        <f t="shared" si="5"/>
        <v>1.6155088852988664E-2</v>
      </c>
      <c r="M62" s="438">
        <f t="shared" si="5"/>
        <v>1.6155088852988664E-2</v>
      </c>
      <c r="N62" s="438">
        <f t="shared" si="5"/>
        <v>1.6155088852988664E-2</v>
      </c>
      <c r="O62" s="478">
        <f t="shared" si="5"/>
        <v>-2.341477041946316E-3</v>
      </c>
      <c r="P62" s="438">
        <f t="shared" si="5"/>
        <v>-2.341477041946316E-3</v>
      </c>
      <c r="Q62" s="438">
        <f t="shared" si="5"/>
        <v>-2.341477041946316E-3</v>
      </c>
      <c r="R62" s="439">
        <f t="shared" si="3"/>
        <v>-2.341477041946316E-3</v>
      </c>
      <c r="S62" s="480"/>
    </row>
    <row r="63" spans="2:19" ht="15" customHeight="1" x14ac:dyDescent="0.25">
      <c r="B63" s="389">
        <v>2006</v>
      </c>
      <c r="C63" s="474">
        <v>31068</v>
      </c>
      <c r="D63" s="475">
        <f t="shared" si="6"/>
        <v>31068</v>
      </c>
      <c r="E63" s="475">
        <f t="shared" si="6"/>
        <v>31068</v>
      </c>
      <c r="F63" s="475">
        <f t="shared" si="6"/>
        <v>31068</v>
      </c>
      <c r="G63" s="477">
        <f>C63*Prix!C$73/Prix!C63</f>
        <v>34841.511698197697</v>
      </c>
      <c r="H63" s="475">
        <f>D63*Prix!D$73/Prix!D63</f>
        <v>34841.511698197697</v>
      </c>
      <c r="I63" s="475">
        <f>E63*Prix!E$73/Prix!E63</f>
        <v>34841.511698197697</v>
      </c>
      <c r="J63" s="475">
        <f>F63*Prix!F$73/Prix!F63</f>
        <v>34841.511698197697</v>
      </c>
      <c r="K63" s="478">
        <f t="shared" si="5"/>
        <v>2.9014308426073221E-2</v>
      </c>
      <c r="L63" s="438">
        <f t="shared" si="5"/>
        <v>2.9014308426073221E-2</v>
      </c>
      <c r="M63" s="438">
        <f t="shared" si="5"/>
        <v>2.9014308426073221E-2</v>
      </c>
      <c r="N63" s="438">
        <f t="shared" si="5"/>
        <v>2.9014308426073221E-2</v>
      </c>
      <c r="O63" s="478">
        <f t="shared" si="5"/>
        <v>1.254178563362629E-2</v>
      </c>
      <c r="P63" s="438">
        <f t="shared" si="5"/>
        <v>1.254178563362629E-2</v>
      </c>
      <c r="Q63" s="438">
        <f t="shared" si="5"/>
        <v>1.254178563362629E-2</v>
      </c>
      <c r="R63" s="439">
        <f t="shared" si="3"/>
        <v>1.254178563362629E-2</v>
      </c>
      <c r="S63" s="480"/>
    </row>
    <row r="64" spans="2:19" ht="15" customHeight="1" x14ac:dyDescent="0.25">
      <c r="B64" s="389">
        <v>2007</v>
      </c>
      <c r="C64" s="474">
        <v>32184</v>
      </c>
      <c r="D64" s="475">
        <f t="shared" si="6"/>
        <v>32184</v>
      </c>
      <c r="E64" s="475">
        <f t="shared" si="6"/>
        <v>32184</v>
      </c>
      <c r="F64" s="475">
        <f t="shared" si="6"/>
        <v>32184</v>
      </c>
      <c r="G64" s="477">
        <f>C64*Prix!C$73/Prix!C64</f>
        <v>35563.568497683656</v>
      </c>
      <c r="H64" s="475">
        <f>D64*Prix!D$73/Prix!D64</f>
        <v>35563.568497683656</v>
      </c>
      <c r="I64" s="475">
        <f>E64*Prix!E$73/Prix!E64</f>
        <v>35563.568497683656</v>
      </c>
      <c r="J64" s="475">
        <f>F64*Prix!F$73/Prix!F64</f>
        <v>35563.568497683656</v>
      </c>
      <c r="K64" s="478">
        <f t="shared" si="5"/>
        <v>3.5921205098493614E-2</v>
      </c>
      <c r="L64" s="438">
        <f t="shared" si="5"/>
        <v>3.5921205098493614E-2</v>
      </c>
      <c r="M64" s="438">
        <f t="shared" si="5"/>
        <v>3.5921205098493614E-2</v>
      </c>
      <c r="N64" s="438">
        <f t="shared" si="5"/>
        <v>3.5921205098493614E-2</v>
      </c>
      <c r="O64" s="478">
        <f t="shared" si="5"/>
        <v>2.0724037629036296E-2</v>
      </c>
      <c r="P64" s="438">
        <f t="shared" si="5"/>
        <v>2.0724037629036296E-2</v>
      </c>
      <c r="Q64" s="438">
        <f t="shared" si="5"/>
        <v>2.0724037629036296E-2</v>
      </c>
      <c r="R64" s="439">
        <f t="shared" si="3"/>
        <v>2.0724037629036296E-2</v>
      </c>
      <c r="S64" s="480"/>
    </row>
    <row r="65" spans="2:20" ht="15" customHeight="1" x14ac:dyDescent="0.25">
      <c r="B65" s="389">
        <v>2008</v>
      </c>
      <c r="C65" s="474">
        <v>33276</v>
      </c>
      <c r="D65" s="475">
        <f t="shared" si="6"/>
        <v>33276</v>
      </c>
      <c r="E65" s="475">
        <f t="shared" si="6"/>
        <v>33276</v>
      </c>
      <c r="F65" s="475">
        <f t="shared" si="6"/>
        <v>33276</v>
      </c>
      <c r="G65" s="477">
        <f>C65*Prix!C$73/Prix!C65</f>
        <v>35764.292243321535</v>
      </c>
      <c r="H65" s="475">
        <f>D65*Prix!D$73/Prix!D65</f>
        <v>35764.292243321535</v>
      </c>
      <c r="I65" s="475">
        <f>E65*Prix!E$73/Prix!E65</f>
        <v>35764.292243321535</v>
      </c>
      <c r="J65" s="475">
        <f>F65*Prix!F$73/Prix!F65</f>
        <v>35764.292243321535</v>
      </c>
      <c r="K65" s="478">
        <f t="shared" si="5"/>
        <v>3.392990305741983E-2</v>
      </c>
      <c r="L65" s="438">
        <f t="shared" si="5"/>
        <v>3.392990305741983E-2</v>
      </c>
      <c r="M65" s="438">
        <f t="shared" si="5"/>
        <v>3.392990305741983E-2</v>
      </c>
      <c r="N65" s="438">
        <f t="shared" si="5"/>
        <v>3.392990305741983E-2</v>
      </c>
      <c r="O65" s="478">
        <f t="shared" si="5"/>
        <v>5.6440833728750306E-3</v>
      </c>
      <c r="P65" s="438">
        <f t="shared" si="5"/>
        <v>5.6440833728750306E-3</v>
      </c>
      <c r="Q65" s="438">
        <f t="shared" si="5"/>
        <v>5.6440833728750306E-3</v>
      </c>
      <c r="R65" s="439">
        <f t="shared" si="3"/>
        <v>5.6440833728750306E-3</v>
      </c>
      <c r="S65" s="480"/>
      <c r="T65" s="481"/>
    </row>
    <row r="66" spans="2:20" ht="15" customHeight="1" x14ac:dyDescent="0.25">
      <c r="B66" s="389">
        <v>2009</v>
      </c>
      <c r="C66" s="474">
        <v>34308</v>
      </c>
      <c r="D66" s="475">
        <f t="shared" si="6"/>
        <v>34308</v>
      </c>
      <c r="E66" s="475">
        <f t="shared" si="6"/>
        <v>34308</v>
      </c>
      <c r="F66" s="475">
        <f t="shared" si="6"/>
        <v>34308</v>
      </c>
      <c r="G66" s="477">
        <f>C66*Prix!C$73/Prix!C66</f>
        <v>36841.841998070529</v>
      </c>
      <c r="H66" s="475">
        <f>D66*Prix!D$73/Prix!D66</f>
        <v>36841.841998070529</v>
      </c>
      <c r="I66" s="475">
        <f>E66*Prix!E$73/Prix!E66</f>
        <v>36841.841998070529</v>
      </c>
      <c r="J66" s="475">
        <f>F66*Prix!F$73/Prix!F66</f>
        <v>36841.841998070529</v>
      </c>
      <c r="K66" s="478">
        <f t="shared" si="5"/>
        <v>3.101334294987379E-2</v>
      </c>
      <c r="L66" s="438">
        <f t="shared" si="5"/>
        <v>3.101334294987379E-2</v>
      </c>
      <c r="M66" s="438">
        <f t="shared" si="5"/>
        <v>3.101334294987379E-2</v>
      </c>
      <c r="N66" s="438">
        <f t="shared" si="5"/>
        <v>3.101334294987379E-2</v>
      </c>
      <c r="O66" s="478">
        <f t="shared" si="5"/>
        <v>3.0129206735531433E-2</v>
      </c>
      <c r="P66" s="438">
        <f t="shared" si="5"/>
        <v>3.0129206735531433E-2</v>
      </c>
      <c r="Q66" s="438">
        <f t="shared" si="5"/>
        <v>3.0129206735531433E-2</v>
      </c>
      <c r="R66" s="439">
        <f t="shared" si="3"/>
        <v>3.0129206735531433E-2</v>
      </c>
      <c r="S66" s="480"/>
      <c r="T66" s="481"/>
    </row>
    <row r="67" spans="2:20" ht="15" customHeight="1" x14ac:dyDescent="0.25">
      <c r="B67" s="389">
        <v>2010</v>
      </c>
      <c r="C67" s="474">
        <v>34620</v>
      </c>
      <c r="D67" s="475">
        <f t="shared" si="6"/>
        <v>34620</v>
      </c>
      <c r="E67" s="475">
        <f t="shared" si="6"/>
        <v>34620</v>
      </c>
      <c r="F67" s="475">
        <f t="shared" si="6"/>
        <v>34620</v>
      </c>
      <c r="G67" s="477">
        <f>C67*Prix!C$73/Prix!C67</f>
        <v>36619.486854608804</v>
      </c>
      <c r="H67" s="475">
        <f>D67*Prix!D$73/Prix!D67</f>
        <v>36619.486854608804</v>
      </c>
      <c r="I67" s="475">
        <f>E67*Prix!E$73/Prix!E67</f>
        <v>36619.486854608804</v>
      </c>
      <c r="J67" s="475">
        <f>F67*Prix!F$73/Prix!F67</f>
        <v>36619.486854608804</v>
      </c>
      <c r="K67" s="478">
        <f t="shared" si="5"/>
        <v>9.0940888422526012E-3</v>
      </c>
      <c r="L67" s="438">
        <f t="shared" si="5"/>
        <v>9.0940888422526012E-3</v>
      </c>
      <c r="M67" s="438">
        <f t="shared" si="5"/>
        <v>9.0940888422526012E-3</v>
      </c>
      <c r="N67" s="438">
        <f t="shared" si="5"/>
        <v>9.0940888422526012E-3</v>
      </c>
      <c r="O67" s="478">
        <f t="shared" si="5"/>
        <v>-6.0353970214999109E-3</v>
      </c>
      <c r="P67" s="438">
        <f t="shared" si="5"/>
        <v>-6.0353970214999109E-3</v>
      </c>
      <c r="Q67" s="438">
        <f t="shared" si="5"/>
        <v>-6.0353970214999109E-3</v>
      </c>
      <c r="R67" s="439">
        <f t="shared" si="3"/>
        <v>-6.0353970214999109E-3</v>
      </c>
      <c r="S67" s="480"/>
      <c r="T67" s="481"/>
    </row>
    <row r="68" spans="2:20" ht="15" customHeight="1" x14ac:dyDescent="0.25">
      <c r="B68" s="389">
        <v>2011</v>
      </c>
      <c r="C68" s="474">
        <v>35352</v>
      </c>
      <c r="D68" s="475">
        <f t="shared" si="6"/>
        <v>35352</v>
      </c>
      <c r="E68" s="475">
        <f t="shared" si="6"/>
        <v>35352</v>
      </c>
      <c r="F68" s="475">
        <f t="shared" si="6"/>
        <v>35352</v>
      </c>
      <c r="G68" s="477">
        <f>C68*Prix!C$73/Prix!C68</f>
        <v>36620.446282700861</v>
      </c>
      <c r="H68" s="475">
        <f>D68*Prix!D$73/Prix!D68</f>
        <v>36620.446282700861</v>
      </c>
      <c r="I68" s="475">
        <f>E68*Prix!E$73/Prix!E68</f>
        <v>36620.446282700861</v>
      </c>
      <c r="J68" s="475">
        <f>F68*Prix!F$73/Prix!F68</f>
        <v>36620.446282700861</v>
      </c>
      <c r="K68" s="478">
        <f t="shared" si="5"/>
        <v>2.1143847487001821E-2</v>
      </c>
      <c r="L68" s="438">
        <f t="shared" si="5"/>
        <v>2.1143847487001821E-2</v>
      </c>
      <c r="M68" s="438">
        <f t="shared" si="5"/>
        <v>2.1143847487001821E-2</v>
      </c>
      <c r="N68" s="438">
        <f t="shared" si="5"/>
        <v>2.1143847487001821E-2</v>
      </c>
      <c r="O68" s="478">
        <f t="shared" si="5"/>
        <v>2.619993272623411E-5</v>
      </c>
      <c r="P68" s="438">
        <f t="shared" si="5"/>
        <v>2.619993272623411E-5</v>
      </c>
      <c r="Q68" s="438">
        <f t="shared" si="5"/>
        <v>2.619993272623411E-5</v>
      </c>
      <c r="R68" s="439">
        <f t="shared" si="3"/>
        <v>2.619993272623411E-5</v>
      </c>
      <c r="S68" s="480"/>
      <c r="T68" s="481"/>
    </row>
    <row r="69" spans="2:20" ht="15" customHeight="1" x14ac:dyDescent="0.25">
      <c r="B69" s="389">
        <v>2012</v>
      </c>
      <c r="C69" s="474">
        <v>36372</v>
      </c>
      <c r="D69" s="475">
        <f t="shared" si="6"/>
        <v>36372</v>
      </c>
      <c r="E69" s="475">
        <f t="shared" si="6"/>
        <v>36372</v>
      </c>
      <c r="F69" s="475">
        <f t="shared" si="6"/>
        <v>36372</v>
      </c>
      <c r="G69" s="477">
        <f>C69*Prix!C$73/Prix!C69</f>
        <v>36954.837322515217</v>
      </c>
      <c r="H69" s="475">
        <f>D69*Prix!D$73/Prix!D69</f>
        <v>36954.837322515217</v>
      </c>
      <c r="I69" s="475">
        <f>E69*Prix!E$73/Prix!E69</f>
        <v>36954.837322515217</v>
      </c>
      <c r="J69" s="475">
        <f>F69*Prix!F$73/Prix!F69</f>
        <v>36954.837322515217</v>
      </c>
      <c r="K69" s="478">
        <f t="shared" si="5"/>
        <v>2.8852681602172359E-2</v>
      </c>
      <c r="L69" s="438">
        <f t="shared" si="5"/>
        <v>2.8852681602172359E-2</v>
      </c>
      <c r="M69" s="438">
        <f t="shared" si="5"/>
        <v>2.8852681602172359E-2</v>
      </c>
      <c r="N69" s="438">
        <f t="shared" si="5"/>
        <v>2.8852681602172359E-2</v>
      </c>
      <c r="O69" s="478">
        <f t="shared" si="5"/>
        <v>9.1312661029017139E-3</v>
      </c>
      <c r="P69" s="438">
        <f t="shared" si="5"/>
        <v>9.1312661029017139E-3</v>
      </c>
      <c r="Q69" s="438">
        <f t="shared" si="5"/>
        <v>9.1312661029017139E-3</v>
      </c>
      <c r="R69" s="439">
        <f t="shared" si="3"/>
        <v>9.1312661029017139E-3</v>
      </c>
      <c r="S69" s="480"/>
      <c r="T69" s="481"/>
    </row>
    <row r="70" spans="2:20" ht="15" customHeight="1" x14ac:dyDescent="0.25">
      <c r="B70" s="389">
        <v>2013</v>
      </c>
      <c r="C70" s="474">
        <v>37032</v>
      </c>
      <c r="D70" s="475">
        <f t="shared" si="6"/>
        <v>37032</v>
      </c>
      <c r="E70" s="475">
        <f t="shared" si="6"/>
        <v>37032</v>
      </c>
      <c r="F70" s="475">
        <f t="shared" si="6"/>
        <v>37032</v>
      </c>
      <c r="G70" s="477">
        <f>C70*Prix!C$73/Prix!C70</f>
        <v>37300.078021315101</v>
      </c>
      <c r="H70" s="475">
        <f>D70*Prix!D$73/Prix!D70</f>
        <v>37300.078021315101</v>
      </c>
      <c r="I70" s="475">
        <f>E70*Prix!E$73/Prix!E70</f>
        <v>37300.078021315101</v>
      </c>
      <c r="J70" s="475">
        <f>F70*Prix!F$73/Prix!F70</f>
        <v>37300.078021315101</v>
      </c>
      <c r="K70" s="478">
        <f t="shared" si="5"/>
        <v>1.8145826459914138E-2</v>
      </c>
      <c r="L70" s="438">
        <f t="shared" si="5"/>
        <v>1.8145826459914138E-2</v>
      </c>
      <c r="M70" s="438">
        <f t="shared" si="5"/>
        <v>1.8145826459914138E-2</v>
      </c>
      <c r="N70" s="438">
        <f t="shared" si="5"/>
        <v>1.8145826459914138E-2</v>
      </c>
      <c r="O70" s="478">
        <f t="shared" si="5"/>
        <v>9.3422329473911159E-3</v>
      </c>
      <c r="P70" s="438">
        <f t="shared" si="5"/>
        <v>9.3422329473911159E-3</v>
      </c>
      <c r="Q70" s="438">
        <f t="shared" si="5"/>
        <v>9.3422329473911159E-3</v>
      </c>
      <c r="R70" s="439">
        <f t="shared" si="3"/>
        <v>9.3422329473911159E-3</v>
      </c>
      <c r="S70" s="480"/>
      <c r="T70" s="481"/>
    </row>
    <row r="71" spans="2:20" ht="15" customHeight="1" x14ac:dyDescent="0.25">
      <c r="B71" s="389">
        <v>2014</v>
      </c>
      <c r="C71" s="474">
        <v>37548</v>
      </c>
      <c r="D71" s="475">
        <f t="shared" ref="D71:F75" si="7">C71</f>
        <v>37548</v>
      </c>
      <c r="E71" s="475">
        <f t="shared" si="7"/>
        <v>37548</v>
      </c>
      <c r="F71" s="475">
        <f t="shared" si="7"/>
        <v>37548</v>
      </c>
      <c r="G71" s="477">
        <f>C71*Prix!C$73/Prix!C71</f>
        <v>37630.638655462186</v>
      </c>
      <c r="H71" s="475">
        <f>D71*Prix!D$73/Prix!D71</f>
        <v>37630.638655462186</v>
      </c>
      <c r="I71" s="475">
        <f>E71*Prix!E$73/Prix!E71</f>
        <v>37630.638655462186</v>
      </c>
      <c r="J71" s="475">
        <f>F71*Prix!F$73/Prix!F71</f>
        <v>37630.638655462186</v>
      </c>
      <c r="K71" s="478">
        <f t="shared" ref="K71:R102" si="8">C71/C70-1</f>
        <v>1.393389500972142E-2</v>
      </c>
      <c r="L71" s="438">
        <f t="shared" si="8"/>
        <v>1.393389500972142E-2</v>
      </c>
      <c r="M71" s="438">
        <f t="shared" si="8"/>
        <v>1.393389500972142E-2</v>
      </c>
      <c r="N71" s="438">
        <f t="shared" si="8"/>
        <v>1.393389500972142E-2</v>
      </c>
      <c r="O71" s="478">
        <f t="shared" si="8"/>
        <v>8.8621968554110087E-3</v>
      </c>
      <c r="P71" s="438">
        <f t="shared" si="8"/>
        <v>8.8621968554110087E-3</v>
      </c>
      <c r="Q71" s="438">
        <f t="shared" si="8"/>
        <v>8.8621968554110087E-3</v>
      </c>
      <c r="R71" s="439">
        <f t="shared" si="3"/>
        <v>8.8621968554110087E-3</v>
      </c>
      <c r="S71" s="480"/>
      <c r="T71" s="481"/>
    </row>
    <row r="72" spans="2:20" ht="15" customHeight="1" x14ac:dyDescent="0.25">
      <c r="B72" s="389">
        <v>2015</v>
      </c>
      <c r="C72" s="474">
        <v>38040</v>
      </c>
      <c r="D72" s="475">
        <f t="shared" si="7"/>
        <v>38040</v>
      </c>
      <c r="E72" s="475">
        <f t="shared" si="7"/>
        <v>38040</v>
      </c>
      <c r="F72" s="475">
        <f t="shared" si="7"/>
        <v>38040</v>
      </c>
      <c r="G72" s="477">
        <f>C72*Prix!C$73/Prix!C72</f>
        <v>38108.472000000002</v>
      </c>
      <c r="H72" s="475">
        <f>D72*Prix!D$73/Prix!D72</f>
        <v>38108.472000000002</v>
      </c>
      <c r="I72" s="475">
        <f>E72*Prix!E$73/Prix!E72</f>
        <v>38108.472000000002</v>
      </c>
      <c r="J72" s="475">
        <f>F72*Prix!F$73/Prix!F72</f>
        <v>38108.472000000002</v>
      </c>
      <c r="K72" s="478">
        <f t="shared" si="8"/>
        <v>1.3103227868328515E-2</v>
      </c>
      <c r="L72" s="438">
        <f t="shared" si="8"/>
        <v>1.3103227868328515E-2</v>
      </c>
      <c r="M72" s="438">
        <f t="shared" si="8"/>
        <v>1.3103227868328515E-2</v>
      </c>
      <c r="N72" s="438">
        <f t="shared" si="8"/>
        <v>1.3103227868328515E-2</v>
      </c>
      <c r="O72" s="478">
        <f t="shared" si="8"/>
        <v>1.2697986577181242E-2</v>
      </c>
      <c r="P72" s="438">
        <f t="shared" si="8"/>
        <v>1.2697986577181242E-2</v>
      </c>
      <c r="Q72" s="438">
        <f t="shared" si="8"/>
        <v>1.2697986577181242E-2</v>
      </c>
      <c r="R72" s="439">
        <f t="shared" si="3"/>
        <v>1.2697986577181242E-2</v>
      </c>
      <c r="S72" s="480"/>
      <c r="T72" s="481"/>
    </row>
    <row r="73" spans="2:20" ht="15" customHeight="1" x14ac:dyDescent="0.25">
      <c r="B73" s="389">
        <v>2016</v>
      </c>
      <c r="C73" s="474">
        <v>38616</v>
      </c>
      <c r="D73" s="475">
        <f t="shared" si="7"/>
        <v>38616</v>
      </c>
      <c r="E73" s="475">
        <f t="shared" si="7"/>
        <v>38616</v>
      </c>
      <c r="F73" s="475">
        <f t="shared" si="7"/>
        <v>38616</v>
      </c>
      <c r="G73" s="477">
        <f>C73*Prix!C$73/Prix!C73</f>
        <v>38616</v>
      </c>
      <c r="H73" s="475">
        <f>D73*Prix!D$73/Prix!D73</f>
        <v>38616</v>
      </c>
      <c r="I73" s="475">
        <f>E73*Prix!E$73/Prix!E73</f>
        <v>38616</v>
      </c>
      <c r="J73" s="475">
        <f>F73*Prix!F$73/Prix!F73</f>
        <v>38616</v>
      </c>
      <c r="K73" s="478">
        <f t="shared" si="8"/>
        <v>1.5141955835962229E-2</v>
      </c>
      <c r="L73" s="438">
        <f t="shared" si="8"/>
        <v>1.5141955835962229E-2</v>
      </c>
      <c r="M73" s="438">
        <f t="shared" si="8"/>
        <v>1.5141955835962229E-2</v>
      </c>
      <c r="N73" s="438">
        <f t="shared" si="8"/>
        <v>1.5141955835962229E-2</v>
      </c>
      <c r="O73" s="478">
        <f t="shared" si="8"/>
        <v>1.3317983465723771E-2</v>
      </c>
      <c r="P73" s="438">
        <f t="shared" si="8"/>
        <v>1.3317983465723771E-2</v>
      </c>
      <c r="Q73" s="438">
        <f t="shared" si="8"/>
        <v>1.3317983465723771E-2</v>
      </c>
      <c r="R73" s="439">
        <f t="shared" si="3"/>
        <v>1.3317983465723771E-2</v>
      </c>
      <c r="S73" s="482"/>
      <c r="T73" s="481"/>
    </row>
    <row r="74" spans="2:20" ht="15" customHeight="1" x14ac:dyDescent="0.25">
      <c r="B74" s="389">
        <v>2017</v>
      </c>
      <c r="C74" s="474">
        <v>39228</v>
      </c>
      <c r="D74" s="475">
        <f t="shared" si="7"/>
        <v>39228</v>
      </c>
      <c r="E74" s="475">
        <f t="shared" si="7"/>
        <v>39228</v>
      </c>
      <c r="F74" s="475">
        <f t="shared" si="7"/>
        <v>39228</v>
      </c>
      <c r="G74" s="477">
        <f>C74*Prix!C$73/Prix!C74</f>
        <v>38824.946058091286</v>
      </c>
      <c r="H74" s="475">
        <f>D74*Prix!D$73/Prix!D74</f>
        <v>38824.946058091286</v>
      </c>
      <c r="I74" s="475">
        <f>E74*Prix!E$73/Prix!E74</f>
        <v>38824.946058091286</v>
      </c>
      <c r="J74" s="475">
        <f>F74*Prix!F$73/Prix!F74</f>
        <v>38824.946058091286</v>
      </c>
      <c r="K74" s="478">
        <f t="shared" si="8"/>
        <v>1.5848353014294547E-2</v>
      </c>
      <c r="L74" s="438">
        <f t="shared" si="8"/>
        <v>1.5848353014294547E-2</v>
      </c>
      <c r="M74" s="438">
        <f t="shared" si="8"/>
        <v>1.5848353014294547E-2</v>
      </c>
      <c r="N74" s="438">
        <f t="shared" si="8"/>
        <v>1.5848353014294547E-2</v>
      </c>
      <c r="O74" s="478">
        <f t="shared" si="8"/>
        <v>5.4108674666275558E-3</v>
      </c>
      <c r="P74" s="438">
        <f t="shared" si="8"/>
        <v>5.4108674666275558E-3</v>
      </c>
      <c r="Q74" s="438">
        <f t="shared" si="8"/>
        <v>5.4108674666275558E-3</v>
      </c>
      <c r="R74" s="439">
        <f t="shared" si="3"/>
        <v>5.4108674666275558E-3</v>
      </c>
      <c r="S74" s="482"/>
      <c r="T74" s="481"/>
    </row>
    <row r="75" spans="2:20" ht="15" customHeight="1" x14ac:dyDescent="0.25">
      <c r="B75" s="389">
        <v>2018</v>
      </c>
      <c r="C75" s="474">
        <v>39732</v>
      </c>
      <c r="D75" s="475">
        <f t="shared" si="7"/>
        <v>39732</v>
      </c>
      <c r="E75" s="475">
        <f t="shared" si="7"/>
        <v>39732</v>
      </c>
      <c r="F75" s="475">
        <f t="shared" si="7"/>
        <v>39732</v>
      </c>
      <c r="G75" s="477">
        <f>C75*Prix!C$73/Prix!C75</f>
        <v>38610.454554272968</v>
      </c>
      <c r="H75" s="475">
        <f>D75*Prix!D$73/Prix!D75</f>
        <v>38610.454554272968</v>
      </c>
      <c r="I75" s="475">
        <f>E75*Prix!E$73/Prix!E75</f>
        <v>38610.454554272968</v>
      </c>
      <c r="J75" s="475">
        <f>F75*Prix!F$73/Prix!F75</f>
        <v>38610.454554272968</v>
      </c>
      <c r="K75" s="478">
        <f t="shared" si="8"/>
        <v>1.2847965738758127E-2</v>
      </c>
      <c r="L75" s="438">
        <f t="shared" si="8"/>
        <v>1.2847965738758127E-2</v>
      </c>
      <c r="M75" s="438">
        <f t="shared" si="8"/>
        <v>1.2847965738758127E-2</v>
      </c>
      <c r="N75" s="438">
        <f t="shared" si="8"/>
        <v>1.2847965738758127E-2</v>
      </c>
      <c r="O75" s="478">
        <f t="shared" si="8"/>
        <v>-5.5245795705005651E-3</v>
      </c>
      <c r="P75" s="438">
        <f t="shared" si="8"/>
        <v>-5.5245795705005651E-3</v>
      </c>
      <c r="Q75" s="438">
        <f t="shared" si="8"/>
        <v>-5.5245795705005651E-3</v>
      </c>
      <c r="R75" s="439">
        <f t="shared" si="3"/>
        <v>-5.5245795705005651E-3</v>
      </c>
      <c r="S75" s="482"/>
      <c r="T75" s="481"/>
    </row>
    <row r="76" spans="2:20" ht="15" customHeight="1" x14ac:dyDescent="0.25">
      <c r="B76" s="389">
        <v>2019</v>
      </c>
      <c r="C76" s="477">
        <v>40524</v>
      </c>
      <c r="D76" s="475">
        <v>40524</v>
      </c>
      <c r="E76" s="475">
        <v>40524</v>
      </c>
      <c r="F76" s="475">
        <v>40524</v>
      </c>
      <c r="G76" s="477">
        <f>C76*Prix!C$73/Prix!C76</f>
        <v>38949.384246378206</v>
      </c>
      <c r="H76" s="475">
        <f>D76*Prix!D$73/Prix!D76</f>
        <v>38949.384246378206</v>
      </c>
      <c r="I76" s="475">
        <f>E76*Prix!E$73/Prix!E76</f>
        <v>38949.384246378206</v>
      </c>
      <c r="J76" s="475">
        <f>F76*Prix!F$73/Prix!F76</f>
        <v>38949.384246378206</v>
      </c>
      <c r="K76" s="478">
        <f t="shared" si="8"/>
        <v>1.9933554817275656E-2</v>
      </c>
      <c r="L76" s="438">
        <f t="shared" si="8"/>
        <v>1.9933554817275656E-2</v>
      </c>
      <c r="M76" s="438">
        <f t="shared" si="8"/>
        <v>1.9933554817275656E-2</v>
      </c>
      <c r="N76" s="438">
        <f t="shared" si="8"/>
        <v>1.9933554817275656E-2</v>
      </c>
      <c r="O76" s="478">
        <f t="shared" si="8"/>
        <v>8.7781844585335111E-3</v>
      </c>
      <c r="P76" s="438">
        <f t="shared" si="8"/>
        <v>8.7781844585335111E-3</v>
      </c>
      <c r="Q76" s="438">
        <f t="shared" si="8"/>
        <v>8.7781844585335111E-3</v>
      </c>
      <c r="R76" s="439">
        <f t="shared" si="3"/>
        <v>8.7781844585335111E-3</v>
      </c>
      <c r="S76" s="482"/>
      <c r="T76" s="481"/>
    </row>
    <row r="77" spans="2:20" ht="15" customHeight="1" x14ac:dyDescent="0.25">
      <c r="B77" s="389">
        <v>2020</v>
      </c>
      <c r="C77" s="477">
        <v>41136</v>
      </c>
      <c r="D77" s="475">
        <v>41136</v>
      </c>
      <c r="E77" s="475">
        <v>41136</v>
      </c>
      <c r="F77" s="475">
        <v>41136</v>
      </c>
      <c r="G77" s="477">
        <f>C77*Prix!C$73/Prix!C77</f>
        <v>39348.84445717559</v>
      </c>
      <c r="H77" s="475">
        <f>D77*Prix!D$73/Prix!D77</f>
        <v>39348.84445717559</v>
      </c>
      <c r="I77" s="475">
        <f>E77*Prix!E$73/Prix!E77</f>
        <v>39348.84445717559</v>
      </c>
      <c r="J77" s="475">
        <f>F77*Prix!F$73/Prix!F77</f>
        <v>39348.84445717559</v>
      </c>
      <c r="K77" s="478">
        <f t="shared" si="8"/>
        <v>1.5102161681966209E-2</v>
      </c>
      <c r="L77" s="438">
        <f t="shared" si="8"/>
        <v>1.5102161681966209E-2</v>
      </c>
      <c r="M77" s="438">
        <f t="shared" si="8"/>
        <v>1.5102161681966209E-2</v>
      </c>
      <c r="N77" s="438">
        <f t="shared" si="8"/>
        <v>1.5102161681966209E-2</v>
      </c>
      <c r="O77" s="478">
        <f t="shared" si="8"/>
        <v>1.0255879997243644E-2</v>
      </c>
      <c r="P77" s="438">
        <f t="shared" si="8"/>
        <v>1.0255879997243644E-2</v>
      </c>
      <c r="Q77" s="438">
        <f t="shared" si="8"/>
        <v>1.0255879997243644E-2</v>
      </c>
      <c r="R77" s="439">
        <f t="shared" si="3"/>
        <v>1.0255879997243644E-2</v>
      </c>
      <c r="S77" s="482"/>
      <c r="T77" s="481"/>
    </row>
    <row r="78" spans="2:20" ht="15" customHeight="1" x14ac:dyDescent="0.25">
      <c r="B78" s="389">
        <v>2021</v>
      </c>
      <c r="C78" s="477">
        <v>41136</v>
      </c>
      <c r="D78" s="475">
        <v>41136</v>
      </c>
      <c r="E78" s="475">
        <v>41136</v>
      </c>
      <c r="F78" s="475">
        <v>41136</v>
      </c>
      <c r="G78" s="477">
        <f>C78*Prix!C$73/Prix!C78</f>
        <v>38920.716574852224</v>
      </c>
      <c r="H78" s="475">
        <f>D78*Prix!D$73/Prix!D78</f>
        <v>38920.716574852224</v>
      </c>
      <c r="I78" s="475">
        <f>E78*Prix!E$73/Prix!E78</f>
        <v>38920.716574852224</v>
      </c>
      <c r="J78" s="475">
        <f>F78*Prix!F$73/Prix!F78</f>
        <v>38920.716574852224</v>
      </c>
      <c r="K78" s="478">
        <f t="shared" si="8"/>
        <v>0</v>
      </c>
      <c r="L78" s="438">
        <f t="shared" si="8"/>
        <v>0</v>
      </c>
      <c r="M78" s="438">
        <f t="shared" si="8"/>
        <v>0</v>
      </c>
      <c r="N78" s="438">
        <f t="shared" si="8"/>
        <v>0</v>
      </c>
      <c r="O78" s="478">
        <f t="shared" si="8"/>
        <v>-1.0880316518298461E-2</v>
      </c>
      <c r="P78" s="438">
        <f t="shared" si="8"/>
        <v>-1.0880316518298461E-2</v>
      </c>
      <c r="Q78" s="438">
        <f t="shared" si="8"/>
        <v>-1.0880316518298461E-2</v>
      </c>
      <c r="R78" s="439">
        <f t="shared" si="3"/>
        <v>-1.0880316518298461E-2</v>
      </c>
      <c r="S78" s="482"/>
      <c r="T78" s="481"/>
    </row>
    <row r="79" spans="2:20" ht="15" customHeight="1" x14ac:dyDescent="0.25">
      <c r="B79" s="406">
        <v>2022</v>
      </c>
      <c r="C79" s="483">
        <v>41160</v>
      </c>
      <c r="D79" s="484">
        <v>41160</v>
      </c>
      <c r="E79" s="484">
        <v>41160</v>
      </c>
      <c r="F79" s="484">
        <v>41160</v>
      </c>
      <c r="G79" s="483">
        <f>C79*Prix!C$73/Prix!C79</f>
        <v>38634.349316246895</v>
      </c>
      <c r="H79" s="484">
        <f>D79*Prix!D$73/Prix!D79</f>
        <v>38634.349316246895</v>
      </c>
      <c r="I79" s="484">
        <f>E79*Prix!E$73/Prix!E79</f>
        <v>38634.349316246895</v>
      </c>
      <c r="J79" s="484">
        <f>F79*Prix!F$73/Prix!F79</f>
        <v>38634.349316246895</v>
      </c>
      <c r="K79" s="486">
        <f t="shared" si="8"/>
        <v>5.8343057176202251E-4</v>
      </c>
      <c r="L79" s="454">
        <f t="shared" si="8"/>
        <v>5.8343057176202251E-4</v>
      </c>
      <c r="M79" s="454">
        <f t="shared" si="8"/>
        <v>5.8343057176202251E-4</v>
      </c>
      <c r="N79" s="454">
        <f t="shared" si="8"/>
        <v>5.8343057176202251E-4</v>
      </c>
      <c r="O79" s="486">
        <f t="shared" si="8"/>
        <v>-7.3577077661093337E-3</v>
      </c>
      <c r="P79" s="454">
        <f t="shared" si="8"/>
        <v>-7.3577077661093337E-3</v>
      </c>
      <c r="Q79" s="454">
        <f t="shared" si="8"/>
        <v>-7.3577077661093337E-3</v>
      </c>
      <c r="R79" s="455">
        <f t="shared" si="3"/>
        <v>-7.3577077661093337E-3</v>
      </c>
      <c r="S79" s="482"/>
    </row>
    <row r="80" spans="2:20" ht="15" customHeight="1" x14ac:dyDescent="0.25">
      <c r="B80" s="406">
        <v>2023</v>
      </c>
      <c r="C80" s="483">
        <v>42804</v>
      </c>
      <c r="D80" s="484">
        <v>42804</v>
      </c>
      <c r="E80" s="484">
        <v>42804</v>
      </c>
      <c r="F80" s="484">
        <v>42804</v>
      </c>
      <c r="G80" s="483">
        <f>C80*Prix!C$73/Prix!C80</f>
        <v>39701.057862804555</v>
      </c>
      <c r="H80" s="484">
        <f>D80*Prix!D$73/Prix!D80</f>
        <v>39701.057862804555</v>
      </c>
      <c r="I80" s="484">
        <f>E80*Prix!E$73/Prix!E80</f>
        <v>39701.057862804555</v>
      </c>
      <c r="J80" s="484">
        <f>F80*Prix!F$73/Prix!F80</f>
        <v>39701.057862804555</v>
      </c>
      <c r="K80" s="486">
        <f t="shared" si="8"/>
        <v>3.9941690962099097E-2</v>
      </c>
      <c r="L80" s="454">
        <f t="shared" si="8"/>
        <v>3.9941690962099097E-2</v>
      </c>
      <c r="M80" s="454">
        <f t="shared" si="8"/>
        <v>3.9941690962099097E-2</v>
      </c>
      <c r="N80" s="454">
        <f t="shared" si="8"/>
        <v>3.9941690962099097E-2</v>
      </c>
      <c r="O80" s="486">
        <f t="shared" si="8"/>
        <v>2.7610366563338928E-2</v>
      </c>
      <c r="P80" s="454">
        <f t="shared" si="8"/>
        <v>2.7610366563338928E-2</v>
      </c>
      <c r="Q80" s="454">
        <f t="shared" si="8"/>
        <v>2.7610366563338928E-2</v>
      </c>
      <c r="R80" s="455">
        <f t="shared" si="3"/>
        <v>2.7610366563338928E-2</v>
      </c>
      <c r="S80" s="482"/>
    </row>
    <row r="81" spans="2:19" ht="15" customHeight="1" x14ac:dyDescent="0.25">
      <c r="B81" s="406">
        <v>2024</v>
      </c>
      <c r="C81" s="483">
        <v>44304</v>
      </c>
      <c r="D81" s="484">
        <v>44304</v>
      </c>
      <c r="E81" s="484">
        <v>44304</v>
      </c>
      <c r="F81" s="484">
        <v>44304</v>
      </c>
      <c r="G81" s="483">
        <f>C81*Prix!C$73/Prix!C81</f>
        <v>40485.04438730907</v>
      </c>
      <c r="H81" s="484">
        <f>D81*Prix!D$73/Prix!D81</f>
        <v>40485.04438730907</v>
      </c>
      <c r="I81" s="484">
        <f>E81*Prix!E$73/Prix!E81</f>
        <v>40485.04438730907</v>
      </c>
      <c r="J81" s="484">
        <f>F81*Prix!F$73/Prix!F81</f>
        <v>40485.04438730907</v>
      </c>
      <c r="K81" s="486">
        <f t="shared" si="8"/>
        <v>3.5043453882814601E-2</v>
      </c>
      <c r="L81" s="454">
        <f t="shared" si="8"/>
        <v>3.5043453882814601E-2</v>
      </c>
      <c r="M81" s="454">
        <f t="shared" si="8"/>
        <v>3.5043453882814601E-2</v>
      </c>
      <c r="N81" s="454">
        <f t="shared" si="8"/>
        <v>3.5043453882814601E-2</v>
      </c>
      <c r="O81" s="486">
        <f t="shared" si="8"/>
        <v>1.974724520474358E-2</v>
      </c>
      <c r="P81" s="454">
        <f t="shared" si="8"/>
        <v>1.974724520474358E-2</v>
      </c>
      <c r="Q81" s="454">
        <f t="shared" si="8"/>
        <v>1.974724520474358E-2</v>
      </c>
      <c r="R81" s="455">
        <f t="shared" si="3"/>
        <v>1.974724520474358E-2</v>
      </c>
      <c r="S81" s="482"/>
    </row>
    <row r="82" spans="2:19" ht="15" customHeight="1" x14ac:dyDescent="0.25">
      <c r="B82" s="406">
        <v>2025</v>
      </c>
      <c r="C82" s="483">
        <v>45720</v>
      </c>
      <c r="D82" s="484">
        <v>45720</v>
      </c>
      <c r="E82" s="484">
        <v>45720</v>
      </c>
      <c r="F82" s="484">
        <v>45720</v>
      </c>
      <c r="G82" s="483">
        <f>C82*Prix!C$73/Prix!C82</f>
        <v>41060.429247552333</v>
      </c>
      <c r="H82" s="484">
        <f>D82*Prix!D$73/Prix!D82</f>
        <v>41060.429247552333</v>
      </c>
      <c r="I82" s="484">
        <f>E82*Prix!E$73/Prix!E82</f>
        <v>41060.429247552333</v>
      </c>
      <c r="J82" s="484">
        <f>F82*Prix!F$73/Prix!F82</f>
        <v>41060.429247552333</v>
      </c>
      <c r="K82" s="486">
        <f t="shared" si="8"/>
        <v>3.1960996749729187E-2</v>
      </c>
      <c r="L82" s="454">
        <f t="shared" si="8"/>
        <v>3.1960996749729187E-2</v>
      </c>
      <c r="M82" s="454">
        <f t="shared" si="8"/>
        <v>3.1960996749729187E-2</v>
      </c>
      <c r="N82" s="454">
        <f t="shared" si="8"/>
        <v>3.1960996749729187E-2</v>
      </c>
      <c r="O82" s="486">
        <f t="shared" si="8"/>
        <v>1.4212281817915784E-2</v>
      </c>
      <c r="P82" s="454">
        <f t="shared" si="8"/>
        <v>1.4212281817915784E-2</v>
      </c>
      <c r="Q82" s="454">
        <f t="shared" si="8"/>
        <v>1.4212281817915784E-2</v>
      </c>
      <c r="R82" s="455">
        <f t="shared" si="3"/>
        <v>1.4212281817915784E-2</v>
      </c>
      <c r="S82" s="482"/>
    </row>
    <row r="83" spans="2:19" ht="15" customHeight="1" x14ac:dyDescent="0.25">
      <c r="B83" s="406">
        <v>2026</v>
      </c>
      <c r="C83" s="483">
        <v>47148</v>
      </c>
      <c r="D83" s="484">
        <v>47148</v>
      </c>
      <c r="E83" s="484">
        <v>47148</v>
      </c>
      <c r="F83" s="484">
        <v>47148</v>
      </c>
      <c r="G83" s="483">
        <f>C83*Prix!C$73/Prix!C83</f>
        <v>41614.637934217622</v>
      </c>
      <c r="H83" s="484">
        <f>D83*Prix!D$73/Prix!D83</f>
        <v>41614.637934217622</v>
      </c>
      <c r="I83" s="484">
        <f>E83*Prix!E$73/Prix!E83</f>
        <v>41614.637934217622</v>
      </c>
      <c r="J83" s="484">
        <f>F83*Prix!F$73/Prix!F83</f>
        <v>41614.637934217622</v>
      </c>
      <c r="K83" s="486">
        <f t="shared" si="8"/>
        <v>3.1233595800524983E-2</v>
      </c>
      <c r="L83" s="454">
        <f t="shared" si="8"/>
        <v>3.1233595800524983E-2</v>
      </c>
      <c r="M83" s="454">
        <f t="shared" si="8"/>
        <v>3.1233595800524983E-2</v>
      </c>
      <c r="N83" s="454">
        <f t="shared" si="8"/>
        <v>3.1233595800524983E-2</v>
      </c>
      <c r="O83" s="486">
        <f t="shared" si="8"/>
        <v>1.3497391450147278E-2</v>
      </c>
      <c r="P83" s="454">
        <f t="shared" si="8"/>
        <v>1.3497391450147278E-2</v>
      </c>
      <c r="Q83" s="454">
        <f t="shared" si="8"/>
        <v>1.3497391450147278E-2</v>
      </c>
      <c r="R83" s="455">
        <f t="shared" si="3"/>
        <v>1.3497391450147278E-2</v>
      </c>
      <c r="S83" s="482"/>
    </row>
    <row r="84" spans="2:19" ht="15" customHeight="1" x14ac:dyDescent="0.25">
      <c r="B84" s="406">
        <v>2027</v>
      </c>
      <c r="C84" s="483">
        <v>48588</v>
      </c>
      <c r="D84" s="484">
        <v>48588</v>
      </c>
      <c r="E84" s="484">
        <v>48588</v>
      </c>
      <c r="F84" s="484">
        <v>48588</v>
      </c>
      <c r="G84" s="483">
        <f>C84*Prix!C$73/Prix!C84</f>
        <v>42148.046497479445</v>
      </c>
      <c r="H84" s="484">
        <f>D84*Prix!D$73/Prix!D84</f>
        <v>42148.046497479445</v>
      </c>
      <c r="I84" s="484">
        <f>E84*Prix!E$73/Prix!E84</f>
        <v>42148.046497479445</v>
      </c>
      <c r="J84" s="484">
        <f>F84*Prix!F$73/Prix!F84</f>
        <v>42148.046497479445</v>
      </c>
      <c r="K84" s="486">
        <f t="shared" si="8"/>
        <v>3.0542122677525985E-2</v>
      </c>
      <c r="L84" s="454">
        <f t="shared" si="8"/>
        <v>3.0542122677525985E-2</v>
      </c>
      <c r="M84" s="454">
        <f t="shared" si="8"/>
        <v>3.0542122677525985E-2</v>
      </c>
      <c r="N84" s="454">
        <f t="shared" si="8"/>
        <v>3.0542122677525985E-2</v>
      </c>
      <c r="O84" s="486">
        <f t="shared" si="8"/>
        <v>1.2817810985283895E-2</v>
      </c>
      <c r="P84" s="454">
        <f t="shared" si="8"/>
        <v>1.2817810985283895E-2</v>
      </c>
      <c r="Q84" s="454">
        <f t="shared" si="8"/>
        <v>1.2817810985283895E-2</v>
      </c>
      <c r="R84" s="455">
        <f t="shared" si="3"/>
        <v>1.2817810985283895E-2</v>
      </c>
      <c r="S84" s="482"/>
    </row>
    <row r="85" spans="2:19" ht="15" customHeight="1" x14ac:dyDescent="0.25">
      <c r="B85" s="406">
        <v>2028</v>
      </c>
      <c r="C85" s="483">
        <v>50016</v>
      </c>
      <c r="D85" s="484">
        <v>50016</v>
      </c>
      <c r="E85" s="484">
        <v>50016</v>
      </c>
      <c r="F85" s="484">
        <v>50016</v>
      </c>
      <c r="G85" s="483">
        <f>C85*Prix!C$73/Prix!C85</f>
        <v>42640.566524811671</v>
      </c>
      <c r="H85" s="484">
        <f>D85*Prix!D$73/Prix!D85</f>
        <v>42640.566524811671</v>
      </c>
      <c r="I85" s="484">
        <f>E85*Prix!E$73/Prix!E85</f>
        <v>42640.566524811671</v>
      </c>
      <c r="J85" s="484">
        <f>F85*Prix!F$73/Prix!F85</f>
        <v>42640.566524811671</v>
      </c>
      <c r="K85" s="486">
        <f t="shared" si="8"/>
        <v>2.9389972832798206E-2</v>
      </c>
      <c r="L85" s="454">
        <f t="shared" si="8"/>
        <v>2.9389972832798206E-2</v>
      </c>
      <c r="M85" s="454">
        <f t="shared" si="8"/>
        <v>2.9389972832798206E-2</v>
      </c>
      <c r="N85" s="454">
        <f t="shared" si="8"/>
        <v>2.9389972832798206E-2</v>
      </c>
      <c r="O85" s="486">
        <f t="shared" si="8"/>
        <v>1.1685476985551002E-2</v>
      </c>
      <c r="P85" s="454">
        <f t="shared" si="8"/>
        <v>1.1685476985551002E-2</v>
      </c>
      <c r="Q85" s="454">
        <f t="shared" si="8"/>
        <v>1.1685476985551002E-2</v>
      </c>
      <c r="R85" s="455">
        <f t="shared" si="3"/>
        <v>1.1685476985551002E-2</v>
      </c>
      <c r="S85" s="482"/>
    </row>
    <row r="86" spans="2:19" ht="15" customHeight="1" x14ac:dyDescent="0.25">
      <c r="B86" s="406">
        <v>2029</v>
      </c>
      <c r="C86" s="483">
        <v>51408</v>
      </c>
      <c r="D86" s="484">
        <v>51372</v>
      </c>
      <c r="E86" s="484">
        <v>51348</v>
      </c>
      <c r="F86" s="484">
        <v>51324</v>
      </c>
      <c r="G86" s="483">
        <f>C86*Prix!C$73/Prix!C86</f>
        <v>43073.513653174341</v>
      </c>
      <c r="H86" s="484">
        <f>D86*Prix!D$73/Prix!D86</f>
        <v>43043.35012820713</v>
      </c>
      <c r="I86" s="484">
        <f>E86*Prix!E$73/Prix!E86</f>
        <v>43023.241111562325</v>
      </c>
      <c r="J86" s="484">
        <f>F86*Prix!F$73/Prix!F86</f>
        <v>43003.132094917521</v>
      </c>
      <c r="K86" s="486">
        <f t="shared" si="8"/>
        <v>2.7831094049904026E-2</v>
      </c>
      <c r="L86" s="454">
        <f t="shared" si="8"/>
        <v>2.7111324376199564E-2</v>
      </c>
      <c r="M86" s="454">
        <f t="shared" si="8"/>
        <v>2.663147792706333E-2</v>
      </c>
      <c r="N86" s="454">
        <f t="shared" si="8"/>
        <v>2.6151631477927095E-2</v>
      </c>
      <c r="O86" s="486">
        <f t="shared" si="8"/>
        <v>1.015340938565501E-2</v>
      </c>
      <c r="P86" s="454">
        <f t="shared" si="8"/>
        <v>9.4460190429479507E-3</v>
      </c>
      <c r="Q86" s="454">
        <f t="shared" si="8"/>
        <v>8.9744254811432445E-3</v>
      </c>
      <c r="R86" s="455">
        <f t="shared" si="3"/>
        <v>8.5028319193385382E-3</v>
      </c>
      <c r="S86" s="482"/>
    </row>
    <row r="87" spans="2:19" ht="15" customHeight="1" x14ac:dyDescent="0.25">
      <c r="B87" s="406">
        <v>2030</v>
      </c>
      <c r="C87" s="483">
        <v>52920</v>
      </c>
      <c r="D87" s="484">
        <v>52812</v>
      </c>
      <c r="E87" s="484">
        <v>52752</v>
      </c>
      <c r="F87" s="484">
        <v>52656</v>
      </c>
      <c r="G87" s="483">
        <f>C87*Prix!C$73/Prix!C87</f>
        <v>43577.770714296908</v>
      </c>
      <c r="H87" s="484">
        <f>D87*Prix!D$73/Prix!D87</f>
        <v>43488.836488349363</v>
      </c>
      <c r="I87" s="484">
        <f>E87*Prix!E$73/Prix!E87</f>
        <v>43439.428585045178</v>
      </c>
      <c r="J87" s="484">
        <f>F87*Prix!F$73/Prix!F87</f>
        <v>43360.375939758465</v>
      </c>
      <c r="K87" s="486">
        <f t="shared" si="8"/>
        <v>2.9411764705882248E-2</v>
      </c>
      <c r="L87" s="454">
        <f t="shared" si="8"/>
        <v>2.8030833917308984E-2</v>
      </c>
      <c r="M87" s="454">
        <f t="shared" si="8"/>
        <v>2.7342837111474561E-2</v>
      </c>
      <c r="N87" s="454">
        <f t="shared" si="8"/>
        <v>2.595277063362178E-2</v>
      </c>
      <c r="O87" s="486">
        <f t="shared" si="8"/>
        <v>1.1706894059835049E-2</v>
      </c>
      <c r="P87" s="454">
        <f t="shared" si="8"/>
        <v>1.0349713923645032E-2</v>
      </c>
      <c r="Q87" s="454">
        <f t="shared" si="8"/>
        <v>9.6735499867071084E-3</v>
      </c>
      <c r="R87" s="455">
        <f t="shared" si="3"/>
        <v>8.3073912861144628E-3</v>
      </c>
      <c r="S87" s="482"/>
    </row>
    <row r="88" spans="2:19" ht="15" customHeight="1" x14ac:dyDescent="0.25">
      <c r="B88" s="406">
        <v>2031</v>
      </c>
      <c r="C88" s="483">
        <v>54564</v>
      </c>
      <c r="D88" s="484">
        <v>54348</v>
      </c>
      <c r="E88" s="484">
        <v>54228</v>
      </c>
      <c r="F88" s="484">
        <v>54024</v>
      </c>
      <c r="G88" s="483">
        <f>C88*Prix!C$73/Prix!C88</f>
        <v>44158.768810645459</v>
      </c>
      <c r="H88" s="484">
        <f>D88*Prix!D$73/Prix!D88</f>
        <v>43983.959521313671</v>
      </c>
      <c r="I88" s="484">
        <f>E88*Prix!E$73/Prix!E88</f>
        <v>43886.843249462683</v>
      </c>
      <c r="J88" s="484">
        <f>F88*Prix!F$73/Prix!F88</f>
        <v>43721.745587316</v>
      </c>
      <c r="K88" s="486">
        <f t="shared" si="8"/>
        <v>3.1065759637188162E-2</v>
      </c>
      <c r="L88" s="454">
        <f t="shared" si="8"/>
        <v>2.90842990229494E-2</v>
      </c>
      <c r="M88" s="454">
        <f t="shared" si="8"/>
        <v>2.7979981801637743E-2</v>
      </c>
      <c r="N88" s="454">
        <f t="shared" si="8"/>
        <v>2.5979945305378394E-2</v>
      </c>
      <c r="O88" s="486">
        <f t="shared" si="8"/>
        <v>1.3332441903870507E-2</v>
      </c>
      <c r="P88" s="454">
        <f t="shared" si="8"/>
        <v>1.1385060464814911E-2</v>
      </c>
      <c r="Q88" s="454">
        <f t="shared" si="8"/>
        <v>1.0299736414385974E-2</v>
      </c>
      <c r="R88" s="455">
        <f t="shared" si="3"/>
        <v>8.3340985802242695E-3</v>
      </c>
      <c r="S88" s="482"/>
    </row>
    <row r="89" spans="2:19" ht="15" customHeight="1" x14ac:dyDescent="0.25">
      <c r="B89" s="406">
        <v>2032</v>
      </c>
      <c r="C89" s="483">
        <v>56400</v>
      </c>
      <c r="D89" s="484">
        <v>56040</v>
      </c>
      <c r="E89" s="484">
        <v>55824</v>
      </c>
      <c r="F89" s="484">
        <v>55488</v>
      </c>
      <c r="G89" s="483">
        <f>C89*Prix!C$73/Prix!C89</f>
        <v>44859.604687926891</v>
      </c>
      <c r="H89" s="484">
        <f>D89*Prix!D$73/Prix!D89</f>
        <v>44573.266785663531</v>
      </c>
      <c r="I89" s="484">
        <f>E89*Prix!E$73/Prix!E89</f>
        <v>44401.46404430551</v>
      </c>
      <c r="J89" s="484">
        <f>F89*Prix!F$73/Prix!F89</f>
        <v>44134.215335526373</v>
      </c>
      <c r="K89" s="486">
        <f t="shared" si="8"/>
        <v>3.3648559489773522E-2</v>
      </c>
      <c r="L89" s="454">
        <f t="shared" si="8"/>
        <v>3.1132700375358757E-2</v>
      </c>
      <c r="M89" s="454">
        <f t="shared" si="8"/>
        <v>2.9431290108431041E-2</v>
      </c>
      <c r="N89" s="454">
        <f t="shared" si="8"/>
        <v>2.7099067081297168E-2</v>
      </c>
      <c r="O89" s="486">
        <f t="shared" si="8"/>
        <v>1.5870820137369401E-2</v>
      </c>
      <c r="P89" s="454">
        <f t="shared" si="8"/>
        <v>1.3398231327134136E-2</v>
      </c>
      <c r="Q89" s="454">
        <f t="shared" si="8"/>
        <v>1.1726083644649554E-2</v>
      </c>
      <c r="R89" s="455">
        <f t="shared" si="3"/>
        <v>9.4339725614713821E-3</v>
      </c>
      <c r="S89" s="482"/>
    </row>
    <row r="90" spans="2:19" ht="15" customHeight="1" x14ac:dyDescent="0.25">
      <c r="B90" s="406">
        <v>2033</v>
      </c>
      <c r="C90" s="483">
        <v>58392</v>
      </c>
      <c r="D90" s="484">
        <v>57852</v>
      </c>
      <c r="E90" s="484">
        <v>57516</v>
      </c>
      <c r="F90" s="484">
        <v>57000</v>
      </c>
      <c r="G90" s="483">
        <f>C90*Prix!C$73/Prix!C90</f>
        <v>45645.216459083531</v>
      </c>
      <c r="H90" s="484">
        <f>D90*Prix!D$73/Prix!D90</f>
        <v>45223.096701447124</v>
      </c>
      <c r="I90" s="484">
        <f>E90*Prix!E$73/Prix!E90</f>
        <v>44960.444407806695</v>
      </c>
      <c r="J90" s="484">
        <f>F90*Prix!F$73/Prix!F90</f>
        <v>44557.085528287455</v>
      </c>
      <c r="K90" s="486">
        <f t="shared" si="8"/>
        <v>3.5319148936170164E-2</v>
      </c>
      <c r="L90" s="454">
        <f t="shared" si="8"/>
        <v>3.2334047109207731E-2</v>
      </c>
      <c r="M90" s="454">
        <f t="shared" si="8"/>
        <v>3.0309544282029144E-2</v>
      </c>
      <c r="N90" s="454">
        <f t="shared" si="8"/>
        <v>2.7249134948096776E-2</v>
      </c>
      <c r="O90" s="486">
        <f t="shared" si="8"/>
        <v>1.751267708714499E-2</v>
      </c>
      <c r="P90" s="454">
        <f t="shared" si="8"/>
        <v>1.4578916077845117E-2</v>
      </c>
      <c r="Q90" s="454">
        <f t="shared" si="8"/>
        <v>1.2589232709610876E-2</v>
      </c>
      <c r="R90" s="455">
        <f t="shared" si="3"/>
        <v>9.5814594084486782E-3</v>
      </c>
      <c r="S90" s="482"/>
    </row>
    <row r="91" spans="2:19" ht="15" customHeight="1" x14ac:dyDescent="0.25">
      <c r="B91" s="406">
        <v>2034</v>
      </c>
      <c r="C91" s="483">
        <v>60456</v>
      </c>
      <c r="D91" s="484">
        <v>59724</v>
      </c>
      <c r="E91" s="484">
        <v>59256</v>
      </c>
      <c r="F91" s="484">
        <v>58560</v>
      </c>
      <c r="G91" s="483">
        <f>C91*Prix!C$73/Prix!C91</f>
        <v>46445.849609002915</v>
      </c>
      <c r="H91" s="484">
        <f>D91*Prix!D$73/Prix!D91</f>
        <v>45883.484220724</v>
      </c>
      <c r="I91" s="484">
        <f>E91*Prix!E$73/Prix!E91</f>
        <v>45523.939136414527</v>
      </c>
      <c r="J91" s="484">
        <f>F91*Prix!F$73/Prix!F91</f>
        <v>44989.231062313265</v>
      </c>
      <c r="K91" s="486">
        <f t="shared" si="8"/>
        <v>3.534730785039053E-2</v>
      </c>
      <c r="L91" s="454">
        <f t="shared" si="8"/>
        <v>3.2358431860609826E-2</v>
      </c>
      <c r="M91" s="454">
        <f t="shared" si="8"/>
        <v>3.0252451491758814E-2</v>
      </c>
      <c r="N91" s="454">
        <f t="shared" si="8"/>
        <v>2.7368421052631486E-2</v>
      </c>
      <c r="O91" s="486">
        <f t="shared" si="8"/>
        <v>1.7540351695715328E-2</v>
      </c>
      <c r="P91" s="454">
        <f t="shared" si="8"/>
        <v>1.4602881435488824E-2</v>
      </c>
      <c r="Q91" s="454">
        <f t="shared" si="8"/>
        <v>1.2533121859222396E-2</v>
      </c>
      <c r="R91" s="455">
        <f t="shared" si="3"/>
        <v>9.6986939092202906E-3</v>
      </c>
      <c r="S91" s="482"/>
    </row>
    <row r="92" spans="2:19" ht="15" customHeight="1" x14ac:dyDescent="0.25">
      <c r="B92" s="406">
        <v>2035</v>
      </c>
      <c r="C92" s="483">
        <v>62604</v>
      </c>
      <c r="D92" s="484">
        <v>61656</v>
      </c>
      <c r="E92" s="484">
        <v>61056</v>
      </c>
      <c r="F92" s="484">
        <v>60156</v>
      </c>
      <c r="G92" s="483">
        <f>C92*Prix!C$73/Prix!C92</f>
        <v>47268.864230895451</v>
      </c>
      <c r="H92" s="484">
        <f>D92*Prix!D$73/Prix!D92</f>
        <v>46553.081161269089</v>
      </c>
      <c r="I92" s="484">
        <f>E92*Prix!E$73/Prix!E92</f>
        <v>46100.053902011896</v>
      </c>
      <c r="J92" s="484">
        <f>F92*Prix!F$73/Prix!F92</f>
        <v>45420.513013126103</v>
      </c>
      <c r="K92" s="486">
        <f t="shared" si="8"/>
        <v>3.5529972211195027E-2</v>
      </c>
      <c r="L92" s="454">
        <f t="shared" si="8"/>
        <v>3.234880450070321E-2</v>
      </c>
      <c r="M92" s="454">
        <f t="shared" si="8"/>
        <v>3.037667071688932E-2</v>
      </c>
      <c r="N92" s="454">
        <f t="shared" si="8"/>
        <v>2.7254098360655732E-2</v>
      </c>
      <c r="O92" s="486">
        <f t="shared" si="8"/>
        <v>1.7719874409036773E-2</v>
      </c>
      <c r="P92" s="454">
        <f t="shared" si="8"/>
        <v>1.4593419656710793E-2</v>
      </c>
      <c r="Q92" s="454">
        <f t="shared" si="8"/>
        <v>1.2655204635763528E-2</v>
      </c>
      <c r="R92" s="455">
        <f t="shared" si="3"/>
        <v>9.5863374551896641E-3</v>
      </c>
      <c r="S92" s="482"/>
    </row>
    <row r="93" spans="2:19" ht="15" customHeight="1" x14ac:dyDescent="0.25">
      <c r="B93" s="406">
        <v>2036</v>
      </c>
      <c r="C93" s="483">
        <v>64824</v>
      </c>
      <c r="D93" s="484">
        <v>63648</v>
      </c>
      <c r="E93" s="484">
        <v>62916</v>
      </c>
      <c r="F93" s="484">
        <v>61800</v>
      </c>
      <c r="G93" s="483">
        <f>C93*Prix!C$73/Prix!C93</f>
        <v>48103.258073854602</v>
      </c>
      <c r="H93" s="484">
        <f>D93*Prix!D$73/Prix!D93</f>
        <v>47230.596228012742</v>
      </c>
      <c r="I93" s="484">
        <f>E93*Prix!E$73/Prix!E93</f>
        <v>46687.408752539741</v>
      </c>
      <c r="J93" s="484">
        <f>F93*Prix!F$73/Prix!F93</f>
        <v>45859.270470261239</v>
      </c>
      <c r="K93" s="486">
        <f t="shared" si="8"/>
        <v>3.5460992907801359E-2</v>
      </c>
      <c r="L93" s="454">
        <f t="shared" si="8"/>
        <v>3.2308291163877012E-2</v>
      </c>
      <c r="M93" s="454">
        <f t="shared" si="8"/>
        <v>3.0463836477987449E-2</v>
      </c>
      <c r="N93" s="454">
        <f t="shared" si="8"/>
        <v>2.7328944743666428E-2</v>
      </c>
      <c r="O93" s="486">
        <f t="shared" si="8"/>
        <v>1.7652081481868587E-2</v>
      </c>
      <c r="P93" s="454">
        <f t="shared" si="8"/>
        <v>1.4553603109461299E-2</v>
      </c>
      <c r="Q93" s="454">
        <f t="shared" si="8"/>
        <v>1.274087123143719E-2</v>
      </c>
      <c r="R93" s="455">
        <f t="shared" si="3"/>
        <v>9.6598965539720361E-3</v>
      </c>
      <c r="S93" s="482"/>
    </row>
    <row r="94" spans="2:19" ht="15" customHeight="1" x14ac:dyDescent="0.25">
      <c r="B94" s="406">
        <v>2037</v>
      </c>
      <c r="C94" s="483">
        <v>67128</v>
      </c>
      <c r="D94" s="484">
        <v>65712</v>
      </c>
      <c r="E94" s="484">
        <v>64824</v>
      </c>
      <c r="F94" s="484">
        <v>63492</v>
      </c>
      <c r="G94" s="483">
        <f>C94*Prix!C$73/Prix!C94</f>
        <v>48956.228908783924</v>
      </c>
      <c r="H94" s="484">
        <f>D94*Prix!D$73/Prix!D94</f>
        <v>47923.544780926131</v>
      </c>
      <c r="I94" s="484">
        <f>E94*Prix!E$73/Prix!E94</f>
        <v>47275.929310913612</v>
      </c>
      <c r="J94" s="484">
        <f>F94*Prix!F$73/Prix!F94</f>
        <v>46304.506105894841</v>
      </c>
      <c r="K94" s="486">
        <f t="shared" si="8"/>
        <v>3.55423917067752E-2</v>
      </c>
      <c r="L94" s="454">
        <f t="shared" si="8"/>
        <v>3.2428355957767829E-2</v>
      </c>
      <c r="M94" s="454">
        <f t="shared" si="8"/>
        <v>3.0326149151249204E-2</v>
      </c>
      <c r="N94" s="454">
        <f t="shared" si="8"/>
        <v>2.7378640776698937E-2</v>
      </c>
      <c r="O94" s="486">
        <f t="shared" si="8"/>
        <v>1.7732080301499087E-2</v>
      </c>
      <c r="P94" s="454">
        <f t="shared" si="8"/>
        <v>1.4671602906896952E-2</v>
      </c>
      <c r="Q94" s="454">
        <f t="shared" si="8"/>
        <v>1.2605551991399677E-2</v>
      </c>
      <c r="R94" s="455">
        <f t="shared" si="3"/>
        <v>9.7087378640776656E-3</v>
      </c>
      <c r="S94" s="482"/>
    </row>
    <row r="95" spans="2:19" ht="15" customHeight="1" x14ac:dyDescent="0.25">
      <c r="B95" s="406">
        <v>2038</v>
      </c>
      <c r="C95" s="483">
        <v>69516</v>
      </c>
      <c r="D95" s="484">
        <v>67848</v>
      </c>
      <c r="E95" s="484">
        <v>66792</v>
      </c>
      <c r="F95" s="484">
        <v>65232</v>
      </c>
      <c r="G95" s="483">
        <f>C95*Prix!C$73/Prix!C95</f>
        <v>49825.837277143248</v>
      </c>
      <c r="H95" s="484">
        <f>D95*Prix!D$73/Prix!D95</f>
        <v>48630.292415841177</v>
      </c>
      <c r="I95" s="484">
        <f>E95*Prix!E$73/Prix!E95</f>
        <v>47873.400705088781</v>
      </c>
      <c r="J95" s="484">
        <f>F95*Prix!F$73/Prix!F95</f>
        <v>46755.265223295472</v>
      </c>
      <c r="K95" s="486">
        <f t="shared" si="8"/>
        <v>3.5573829102609977E-2</v>
      </c>
      <c r="L95" s="454">
        <f t="shared" si="8"/>
        <v>3.2505478451424485E-2</v>
      </c>
      <c r="M95" s="454">
        <f t="shared" si="8"/>
        <v>3.0359126249537294E-2</v>
      </c>
      <c r="N95" s="454">
        <f t="shared" si="8"/>
        <v>2.7405027405027482E-2</v>
      </c>
      <c r="O95" s="486">
        <f t="shared" si="8"/>
        <v>1.7762977005022051E-2</v>
      </c>
      <c r="P95" s="454">
        <f t="shared" si="8"/>
        <v>1.4747398969458869E-2</v>
      </c>
      <c r="Q95" s="454">
        <f t="shared" si="8"/>
        <v>1.2637961916007079E-2</v>
      </c>
      <c r="R95" s="455">
        <f t="shared" si="3"/>
        <v>9.7346706683314466E-3</v>
      </c>
      <c r="S95" s="482"/>
    </row>
    <row r="96" spans="2:19" ht="15" customHeight="1" x14ac:dyDescent="0.25">
      <c r="B96" s="406">
        <v>2039</v>
      </c>
      <c r="C96" s="483">
        <v>71988</v>
      </c>
      <c r="D96" s="484">
        <v>70056</v>
      </c>
      <c r="E96" s="484">
        <v>68832</v>
      </c>
      <c r="F96" s="484">
        <v>67020</v>
      </c>
      <c r="G96" s="483">
        <f>C96*Prix!C$73/Prix!C96</f>
        <v>50710.223060125063</v>
      </c>
      <c r="H96" s="484">
        <f>D96*Prix!D$73/Prix!D96</f>
        <v>49349.271916154379</v>
      </c>
      <c r="I96" s="484">
        <f>E96*Prix!E$73/Prix!E96</f>
        <v>48487.054421216424</v>
      </c>
      <c r="J96" s="484">
        <f>F96*Prix!F$73/Prix!F96</f>
        <v>47210.634404200442</v>
      </c>
      <c r="K96" s="486">
        <f t="shared" si="8"/>
        <v>3.5560158812359743E-2</v>
      </c>
      <c r="L96" s="454">
        <f t="shared" si="8"/>
        <v>3.2543332154227E-2</v>
      </c>
      <c r="M96" s="454">
        <f t="shared" si="8"/>
        <v>3.0542579949694559E-2</v>
      </c>
      <c r="N96" s="454">
        <f t="shared" si="8"/>
        <v>2.7409860191317081E-2</v>
      </c>
      <c r="O96" s="486">
        <f t="shared" si="8"/>
        <v>1.7749541830328841E-2</v>
      </c>
      <c r="P96" s="454">
        <f t="shared" si="8"/>
        <v>1.4784601625775995E-2</v>
      </c>
      <c r="Q96" s="454">
        <f t="shared" si="8"/>
        <v>1.2818260392819969E-2</v>
      </c>
      <c r="R96" s="455">
        <f t="shared" si="3"/>
        <v>9.7394203354468356E-3</v>
      </c>
      <c r="S96" s="482"/>
    </row>
    <row r="97" spans="2:19" ht="15" customHeight="1" x14ac:dyDescent="0.25">
      <c r="B97" s="406">
        <v>2040</v>
      </c>
      <c r="C97" s="483">
        <v>74544</v>
      </c>
      <c r="D97" s="484">
        <v>72336</v>
      </c>
      <c r="E97" s="484">
        <v>70932</v>
      </c>
      <c r="F97" s="484">
        <v>68856</v>
      </c>
      <c r="G97" s="483">
        <f>C97*Prix!C$73/Prix!C97</f>
        <v>51607.60301155792</v>
      </c>
      <c r="H97" s="484">
        <f>D97*Prix!D$73/Prix!D97</f>
        <v>50078.981158028204</v>
      </c>
      <c r="I97" s="484">
        <f>E97*Prix!E$73/Prix!E97</f>
        <v>49106.977044642445</v>
      </c>
      <c r="J97" s="484">
        <f>F97*Prix!F$73/Prix!F97</f>
        <v>47669.740193225909</v>
      </c>
      <c r="K97" s="486">
        <f t="shared" si="8"/>
        <v>3.5505917652942198E-2</v>
      </c>
      <c r="L97" s="454">
        <f t="shared" si="8"/>
        <v>3.254539225762243E-2</v>
      </c>
      <c r="M97" s="454">
        <f t="shared" si="8"/>
        <v>3.05090655509066E-2</v>
      </c>
      <c r="N97" s="454">
        <f t="shared" si="8"/>
        <v>2.7394807520143338E-2</v>
      </c>
      <c r="O97" s="486">
        <f t="shared" si="8"/>
        <v>1.7696233565544839E-2</v>
      </c>
      <c r="P97" s="454">
        <f t="shared" si="8"/>
        <v>1.4786626297417671E-2</v>
      </c>
      <c r="Q97" s="454">
        <f t="shared" si="8"/>
        <v>1.2785322408753297E-2</v>
      </c>
      <c r="R97" s="455">
        <f t="shared" si="3"/>
        <v>9.7246265554231659E-3</v>
      </c>
      <c r="S97" s="482"/>
    </row>
    <row r="98" spans="2:19" ht="15" customHeight="1" x14ac:dyDescent="0.25">
      <c r="B98" s="406">
        <v>2041</v>
      </c>
      <c r="C98" s="483">
        <v>77196</v>
      </c>
      <c r="D98" s="484">
        <v>74688</v>
      </c>
      <c r="E98" s="484">
        <v>73092</v>
      </c>
      <c r="F98" s="484">
        <v>70740</v>
      </c>
      <c r="G98" s="483">
        <f>C98*Prix!C$73/Prix!C98</f>
        <v>52524.433200281623</v>
      </c>
      <c r="H98" s="484">
        <f>D98*Prix!D$73/Prix!D98</f>
        <v>50817.981072369475</v>
      </c>
      <c r="I98" s="484">
        <f>E98*Prix!E$73/Prix!E98</f>
        <v>49732.056990970836</v>
      </c>
      <c r="J98" s="484">
        <f>F98*Prix!F$73/Prix!F98</f>
        <v>48131.747818383359</v>
      </c>
      <c r="K98" s="486">
        <f t="shared" si="8"/>
        <v>3.5576303927881581E-2</v>
      </c>
      <c r="L98" s="454">
        <f t="shared" si="8"/>
        <v>3.2514930325149294E-2</v>
      </c>
      <c r="M98" s="454">
        <f t="shared" si="8"/>
        <v>3.0451700219928934E-2</v>
      </c>
      <c r="N98" s="454">
        <f t="shared" si="8"/>
        <v>2.7361449982572283E-2</v>
      </c>
      <c r="O98" s="486">
        <f t="shared" si="8"/>
        <v>1.7765409265731114E-2</v>
      </c>
      <c r="P98" s="454">
        <f t="shared" si="8"/>
        <v>1.475668828024479E-2</v>
      </c>
      <c r="Q98" s="454">
        <f t="shared" si="8"/>
        <v>1.2728943705089701E-2</v>
      </c>
      <c r="R98" s="455">
        <f t="shared" si="3"/>
        <v>9.691842734714573E-3</v>
      </c>
      <c r="S98" s="482"/>
    </row>
    <row r="99" spans="2:19" ht="15" customHeight="1" x14ac:dyDescent="0.25">
      <c r="B99" s="406">
        <v>2042</v>
      </c>
      <c r="C99" s="483">
        <v>79944</v>
      </c>
      <c r="D99" s="484">
        <v>77124</v>
      </c>
      <c r="E99" s="484">
        <v>75324</v>
      </c>
      <c r="F99" s="484">
        <v>72684</v>
      </c>
      <c r="G99" s="483">
        <f>C99*Prix!C$73/Prix!C99</f>
        <v>53458.65570765546</v>
      </c>
      <c r="H99" s="484">
        <f>D99*Prix!D$73/Prix!D99</f>
        <v>51572.918077619579</v>
      </c>
      <c r="I99" s="484">
        <f>E99*Prix!E$73/Prix!E99</f>
        <v>50369.255760575412</v>
      </c>
      <c r="J99" s="484">
        <f>F99*Prix!F$73/Prix!F99</f>
        <v>48603.884362243938</v>
      </c>
      <c r="K99" s="486">
        <f t="shared" si="8"/>
        <v>3.5597699362661217E-2</v>
      </c>
      <c r="L99" s="454">
        <f t="shared" si="8"/>
        <v>3.2615681233933103E-2</v>
      </c>
      <c r="M99" s="454">
        <f t="shared" si="8"/>
        <v>3.0536857658840955E-2</v>
      </c>
      <c r="N99" s="454">
        <f t="shared" si="8"/>
        <v>2.7480916030534264E-2</v>
      </c>
      <c r="O99" s="486">
        <f t="shared" si="8"/>
        <v>1.7786436720060195E-2</v>
      </c>
      <c r="P99" s="454">
        <f t="shared" si="8"/>
        <v>1.4855706372415733E-2</v>
      </c>
      <c r="Q99" s="454">
        <f t="shared" si="8"/>
        <v>1.2812636519745402E-2</v>
      </c>
      <c r="R99" s="455">
        <f t="shared" si="3"/>
        <v>9.8092540840633013E-3</v>
      </c>
      <c r="S99" s="482"/>
    </row>
    <row r="100" spans="2:19" ht="15" customHeight="1" x14ac:dyDescent="0.25">
      <c r="B100" s="406">
        <v>2043</v>
      </c>
      <c r="C100" s="483">
        <v>82788</v>
      </c>
      <c r="D100" s="484">
        <v>79632</v>
      </c>
      <c r="E100" s="484">
        <v>77628</v>
      </c>
      <c r="F100" s="484">
        <v>74676</v>
      </c>
      <c r="G100" s="483">
        <f>C100*Prix!C$73/Prix!C100</f>
        <v>54408.296971582567</v>
      </c>
      <c r="H100" s="484">
        <f>D100*Prix!D$73/Prix!D100</f>
        <v>52334.172880623555</v>
      </c>
      <c r="I100" s="484">
        <f>E100*Prix!E$73/Prix!E100</f>
        <v>51017.143514881522</v>
      </c>
      <c r="J100" s="484">
        <f>F100*Prix!F$73/Prix!F100</f>
        <v>49077.088281513024</v>
      </c>
      <c r="K100" s="486">
        <f t="shared" si="8"/>
        <v>3.5574902431702249E-2</v>
      </c>
      <c r="L100" s="454">
        <f t="shared" si="8"/>
        <v>3.2519060214719175E-2</v>
      </c>
      <c r="M100" s="454">
        <f t="shared" si="8"/>
        <v>3.0587860442886639E-2</v>
      </c>
      <c r="N100" s="454">
        <f t="shared" si="8"/>
        <v>2.7406306752517651E-2</v>
      </c>
      <c r="O100" s="486">
        <f t="shared" si="8"/>
        <v>1.7764031873908737E-2</v>
      </c>
      <c r="P100" s="454">
        <f t="shared" si="8"/>
        <v>1.4760747139773045E-2</v>
      </c>
      <c r="Q100" s="454">
        <f t="shared" si="8"/>
        <v>1.2862762106030878E-2</v>
      </c>
      <c r="R100" s="455">
        <f t="shared" si="3"/>
        <v>9.7359280123026082E-3</v>
      </c>
      <c r="S100" s="482"/>
    </row>
    <row r="101" spans="2:19" ht="15" customHeight="1" x14ac:dyDescent="0.25">
      <c r="B101" s="406">
        <v>2044</v>
      </c>
      <c r="C101" s="483">
        <v>85740</v>
      </c>
      <c r="D101" s="484">
        <v>82224</v>
      </c>
      <c r="E101" s="484">
        <v>80004</v>
      </c>
      <c r="F101" s="484">
        <v>76728</v>
      </c>
      <c r="G101" s="483">
        <f>C101*Prix!C$73/Prix!C101</f>
        <v>55379.215926241835</v>
      </c>
      <c r="H101" s="484">
        <f>D101*Prix!D$73/Prix!D101</f>
        <v>53108.241781190918</v>
      </c>
      <c r="I101" s="484">
        <f>E101*Prix!E$73/Prix!E101</f>
        <v>51674.350256158767</v>
      </c>
      <c r="J101" s="484">
        <f>F101*Prix!F$73/Prix!F101</f>
        <v>49558.391411111312</v>
      </c>
      <c r="K101" s="486">
        <f t="shared" si="8"/>
        <v>3.5657341643716478E-2</v>
      </c>
      <c r="L101" s="454">
        <f t="shared" si="8"/>
        <v>3.2549728752260476E-2</v>
      </c>
      <c r="M101" s="454">
        <f t="shared" si="8"/>
        <v>3.0607512753130228E-2</v>
      </c>
      <c r="N101" s="454">
        <f t="shared" si="8"/>
        <v>2.7478708018640496E-2</v>
      </c>
      <c r="O101" s="486">
        <f t="shared" si="8"/>
        <v>1.784505321249763E-2</v>
      </c>
      <c r="P101" s="454">
        <f t="shared" si="8"/>
        <v>1.4790888208609854E-2</v>
      </c>
      <c r="Q101" s="454">
        <f t="shared" si="8"/>
        <v>1.2882076415853039E-2</v>
      </c>
      <c r="R101" s="455">
        <f t="shared" si="3"/>
        <v>9.8070840478039489E-3</v>
      </c>
      <c r="S101" s="482"/>
    </row>
    <row r="102" spans="2:19" ht="15" customHeight="1" x14ac:dyDescent="0.25">
      <c r="B102" s="406">
        <v>2045</v>
      </c>
      <c r="C102" s="483">
        <v>88800</v>
      </c>
      <c r="D102" s="484">
        <v>84900</v>
      </c>
      <c r="E102" s="484">
        <v>82452</v>
      </c>
      <c r="F102" s="484">
        <v>78840</v>
      </c>
      <c r="G102" s="483">
        <f>C102*Prix!C$73/Prix!C102</f>
        <v>56369.200001264035</v>
      </c>
      <c r="H102" s="484">
        <f>D102*Prix!D$73/Prix!D102</f>
        <v>53893.525676884201</v>
      </c>
      <c r="I102" s="484">
        <f>E102*Prix!E$73/Prix!E102</f>
        <v>52339.563947119619</v>
      </c>
      <c r="J102" s="484">
        <f>F102*Prix!F$73/Prix!F102</f>
        <v>50046.70864977091</v>
      </c>
      <c r="K102" s="486">
        <f t="shared" si="8"/>
        <v>3.5689293212036288E-2</v>
      </c>
      <c r="L102" s="454">
        <f t="shared" si="8"/>
        <v>3.2545242265032082E-2</v>
      </c>
      <c r="M102" s="454">
        <f t="shared" si="8"/>
        <v>3.0598470076496076E-2</v>
      </c>
      <c r="N102" s="454">
        <f t="shared" si="8"/>
        <v>2.7525805442602413E-2</v>
      </c>
      <c r="O102" s="486">
        <f t="shared" si="8"/>
        <v>1.7876455245244616E-2</v>
      </c>
      <c r="P102" s="454">
        <f t="shared" si="8"/>
        <v>1.4786478884552423E-2</v>
      </c>
      <c r="Q102" s="454">
        <f t="shared" si="8"/>
        <v>1.2873189264369422E-2</v>
      </c>
      <c r="R102" s="455">
        <f t="shared" si="8"/>
        <v>9.8533714423612029E-3</v>
      </c>
      <c r="S102" s="482"/>
    </row>
    <row r="103" spans="2:19" ht="15" customHeight="1" x14ac:dyDescent="0.25">
      <c r="B103" s="406">
        <v>2046</v>
      </c>
      <c r="C103" s="483">
        <v>91968</v>
      </c>
      <c r="D103" s="484">
        <v>87672</v>
      </c>
      <c r="E103" s="484">
        <v>84972</v>
      </c>
      <c r="F103" s="484">
        <v>81012</v>
      </c>
      <c r="G103" s="483">
        <f>C103*Prix!C$73/Prix!C103</f>
        <v>57376.127074797478</v>
      </c>
      <c r="H103" s="484">
        <f>D103*Prix!D$73/Prix!D103</f>
        <v>54695.979176470559</v>
      </c>
      <c r="I103" s="484">
        <f>E103*Prix!E$73/Prix!E103</f>
        <v>53011.528681712021</v>
      </c>
      <c r="J103" s="484">
        <f>F103*Prix!F$73/Prix!F103</f>
        <v>50541.001289399494</v>
      </c>
      <c r="K103" s="486">
        <f t="shared" ref="K103:R127" si="9">C103/C102-1</f>
        <v>3.5675675675675755E-2</v>
      </c>
      <c r="L103" s="454">
        <f t="shared" si="9"/>
        <v>3.2650176678445275E-2</v>
      </c>
      <c r="M103" s="454">
        <f t="shared" si="9"/>
        <v>3.0563236792315429E-2</v>
      </c>
      <c r="N103" s="454">
        <f t="shared" si="9"/>
        <v>2.7549467275494566E-2</v>
      </c>
      <c r="O103" s="486">
        <f t="shared" si="9"/>
        <v>1.7863071917125994E-2</v>
      </c>
      <c r="P103" s="454">
        <f t="shared" si="9"/>
        <v>1.4889608529184528E-2</v>
      </c>
      <c r="Q103" s="454">
        <f t="shared" si="9"/>
        <v>1.2838561958049777E-2</v>
      </c>
      <c r="R103" s="455">
        <f t="shared" si="9"/>
        <v>9.8766263149823175E-3</v>
      </c>
      <c r="S103" s="482"/>
    </row>
    <row r="104" spans="2:19" ht="15" customHeight="1" x14ac:dyDescent="0.25">
      <c r="B104" s="406">
        <v>2047</v>
      </c>
      <c r="C104" s="483">
        <v>95256</v>
      </c>
      <c r="D104" s="484">
        <v>90540</v>
      </c>
      <c r="E104" s="484">
        <v>87576</v>
      </c>
      <c r="F104" s="484">
        <v>83244</v>
      </c>
      <c r="G104" s="483">
        <f>C104*Prix!C$73/Prix!C104</f>
        <v>58405.32034897415</v>
      </c>
      <c r="H104" s="484">
        <f>D104*Prix!D$73/Prix!D104</f>
        <v>55513.749311288739</v>
      </c>
      <c r="I104" s="484">
        <f>E104*Prix!E$73/Prix!E104</f>
        <v>53696.400592947015</v>
      </c>
      <c r="J104" s="484">
        <f>F104*Prix!F$73/Prix!F104</f>
        <v>51040.275543062948</v>
      </c>
      <c r="K104" s="486">
        <f t="shared" si="9"/>
        <v>3.5751565762004223E-2</v>
      </c>
      <c r="L104" s="454">
        <f t="shared" si="9"/>
        <v>3.2712838762660734E-2</v>
      </c>
      <c r="M104" s="454">
        <f t="shared" si="9"/>
        <v>3.0645389069340556E-2</v>
      </c>
      <c r="N104" s="454">
        <f t="shared" si="9"/>
        <v>2.7551473855724984E-2</v>
      </c>
      <c r="O104" s="486">
        <f t="shared" si="9"/>
        <v>1.79376567685543E-2</v>
      </c>
      <c r="P104" s="454">
        <f t="shared" si="9"/>
        <v>1.4951192887135978E-2</v>
      </c>
      <c r="Q104" s="454">
        <f t="shared" si="9"/>
        <v>1.2919301296649088E-2</v>
      </c>
      <c r="R104" s="455">
        <f t="shared" si="9"/>
        <v>9.8785983840048441E-3</v>
      </c>
      <c r="S104" s="482"/>
    </row>
    <row r="105" spans="2:19" ht="15" customHeight="1" x14ac:dyDescent="0.25">
      <c r="B105" s="406">
        <v>2048</v>
      </c>
      <c r="C105" s="483">
        <v>98664</v>
      </c>
      <c r="D105" s="484">
        <v>93492</v>
      </c>
      <c r="E105" s="484">
        <v>90264</v>
      </c>
      <c r="F105" s="484">
        <v>85536</v>
      </c>
      <c r="G105" s="483">
        <f>C105*Prix!C$73/Prix!C105</f>
        <v>59454.450605121558</v>
      </c>
      <c r="H105" s="484">
        <f>D105*Prix!D$73/Prix!D105</f>
        <v>56337.828346448805</v>
      </c>
      <c r="I105" s="484">
        <f>E105*Prix!E$73/Prix!E105</f>
        <v>54392.651113077642</v>
      </c>
      <c r="J105" s="484">
        <f>F105*Prix!F$73/Prix!F105</f>
        <v>51543.581113270069</v>
      </c>
      <c r="K105" s="486">
        <f t="shared" si="9"/>
        <v>3.577727387251195E-2</v>
      </c>
      <c r="L105" s="454">
        <f t="shared" si="9"/>
        <v>3.2604373757455285E-2</v>
      </c>
      <c r="M105" s="454">
        <f t="shared" si="9"/>
        <v>3.0693340641271494E-2</v>
      </c>
      <c r="N105" s="454">
        <f t="shared" si="9"/>
        <v>2.7533515929075936E-2</v>
      </c>
      <c r="O105" s="486">
        <f t="shared" si="9"/>
        <v>1.7962922724827246E-2</v>
      </c>
      <c r="P105" s="454">
        <f t="shared" si="9"/>
        <v>1.4844593373420256E-2</v>
      </c>
      <c r="Q105" s="454">
        <f t="shared" si="9"/>
        <v>1.2966428148669662E-2</v>
      </c>
      <c r="R105" s="455">
        <f t="shared" si="9"/>
        <v>9.8609493160450867E-3</v>
      </c>
      <c r="S105" s="482"/>
    </row>
    <row r="106" spans="2:19" ht="15" customHeight="1" x14ac:dyDescent="0.25">
      <c r="B106" s="406">
        <v>2049</v>
      </c>
      <c r="C106" s="483">
        <v>102192</v>
      </c>
      <c r="D106" s="484">
        <v>96552</v>
      </c>
      <c r="E106" s="484">
        <v>93036</v>
      </c>
      <c r="F106" s="484">
        <v>87900</v>
      </c>
      <c r="G106" s="483">
        <f>C106*Prix!C$73/Prix!C106</f>
        <v>60521.283923125309</v>
      </c>
      <c r="H106" s="484">
        <f>D106*Prix!D$73/Prix!D106</f>
        <v>57181.100334131785</v>
      </c>
      <c r="I106" s="484">
        <f>E106*Prix!E$73/Prix!E106</f>
        <v>55098.815671206023</v>
      </c>
      <c r="J106" s="484">
        <f>F106*Prix!F$73/Prix!F106</f>
        <v>52057.11657314383</v>
      </c>
      <c r="K106" s="486">
        <f t="shared" si="9"/>
        <v>3.5757723181707668E-2</v>
      </c>
      <c r="L106" s="454">
        <f t="shared" si="9"/>
        <v>3.2730073161340023E-2</v>
      </c>
      <c r="M106" s="454">
        <f t="shared" si="9"/>
        <v>3.0709917575113099E-2</v>
      </c>
      <c r="N106" s="454">
        <f t="shared" si="9"/>
        <v>2.7637485970819275E-2</v>
      </c>
      <c r="O106" s="486">
        <f t="shared" si="9"/>
        <v>1.7943708286690452E-2</v>
      </c>
      <c r="P106" s="454">
        <f t="shared" si="9"/>
        <v>1.4968130871095831E-2</v>
      </c>
      <c r="Q106" s="454">
        <f t="shared" si="9"/>
        <v>1.2982719975541013E-2</v>
      </c>
      <c r="R106" s="455">
        <f t="shared" si="9"/>
        <v>9.9631311752521601E-3</v>
      </c>
      <c r="S106" s="482"/>
    </row>
    <row r="107" spans="2:19" ht="15" customHeight="1" x14ac:dyDescent="0.25">
      <c r="B107" s="406">
        <v>2050</v>
      </c>
      <c r="C107" s="483">
        <v>105840</v>
      </c>
      <c r="D107" s="484">
        <v>99708</v>
      </c>
      <c r="E107" s="484">
        <v>95892</v>
      </c>
      <c r="F107" s="484">
        <v>90324</v>
      </c>
      <c r="G107" s="483">
        <f>C107*Prix!C$73/Prix!C107</f>
        <v>61603.678718015428</v>
      </c>
      <c r="H107" s="484">
        <f>D107*Prix!D$73/Prix!D107</f>
        <v>58034.576697051045</v>
      </c>
      <c r="I107" s="484">
        <f>E107*Prix!E$73/Prix!E107</f>
        <v>55813.491682047759</v>
      </c>
      <c r="J107" s="484">
        <f>F107*Prix!F$73/Prix!F107</f>
        <v>52572.663232483239</v>
      </c>
      <c r="K107" s="486">
        <f t="shared" si="9"/>
        <v>3.5697510568341917E-2</v>
      </c>
      <c r="L107" s="454">
        <f t="shared" si="9"/>
        <v>3.2687049465572882E-2</v>
      </c>
      <c r="M107" s="454">
        <f t="shared" si="9"/>
        <v>3.0697794402166911E-2</v>
      </c>
      <c r="N107" s="454">
        <f t="shared" si="9"/>
        <v>2.7576791808873624E-2</v>
      </c>
      <c r="O107" s="486">
        <f t="shared" si="9"/>
        <v>1.7884531271097792E-2</v>
      </c>
      <c r="P107" s="454">
        <f t="shared" si="9"/>
        <v>1.4925847140612181E-2</v>
      </c>
      <c r="Q107" s="454">
        <f t="shared" si="9"/>
        <v>1.2970805309254985E-2</v>
      </c>
      <c r="R107" s="455">
        <f t="shared" si="9"/>
        <v>9.9034808932421114E-3</v>
      </c>
      <c r="S107" s="482"/>
    </row>
    <row r="108" spans="2:19" ht="15" customHeight="1" x14ac:dyDescent="0.25">
      <c r="B108" s="406">
        <v>2051</v>
      </c>
      <c r="C108" s="483">
        <v>109620</v>
      </c>
      <c r="D108" s="484">
        <v>102972</v>
      </c>
      <c r="E108" s="484">
        <v>98832</v>
      </c>
      <c r="F108" s="484">
        <v>92820</v>
      </c>
      <c r="G108" s="483">
        <f>C108*Prix!C$73/Prix!C108</f>
        <v>62706.447273515172</v>
      </c>
      <c r="H108" s="484">
        <f>D108*Prix!D$73/Prix!D108</f>
        <v>58903.560378109869</v>
      </c>
      <c r="I108" s="484">
        <f>E108*Prix!E$73/Prix!E108</f>
        <v>56535.336589454942</v>
      </c>
      <c r="J108" s="484">
        <f>F108*Prix!F$73/Prix!F108</f>
        <v>53096.263783321272</v>
      </c>
      <c r="K108" s="486">
        <f t="shared" si="9"/>
        <v>3.5714285714285809E-2</v>
      </c>
      <c r="L108" s="454">
        <f t="shared" si="9"/>
        <v>3.2735587916716824E-2</v>
      </c>
      <c r="M108" s="454">
        <f t="shared" si="9"/>
        <v>3.0659491928419547E-2</v>
      </c>
      <c r="N108" s="454">
        <f t="shared" si="9"/>
        <v>2.7633851468048309E-2</v>
      </c>
      <c r="O108" s="486">
        <f t="shared" si="9"/>
        <v>1.7901017901017724E-2</v>
      </c>
      <c r="P108" s="454">
        <f t="shared" si="9"/>
        <v>1.497355077809992E-2</v>
      </c>
      <c r="Q108" s="454">
        <f t="shared" si="9"/>
        <v>1.2933161600412246E-2</v>
      </c>
      <c r="R108" s="455">
        <f t="shared" si="9"/>
        <v>9.9595591823569141E-3</v>
      </c>
      <c r="S108" s="482"/>
    </row>
    <row r="109" spans="2:19" ht="15" customHeight="1" x14ac:dyDescent="0.25">
      <c r="B109" s="406">
        <v>2052</v>
      </c>
      <c r="C109" s="483">
        <v>113544</v>
      </c>
      <c r="D109" s="484">
        <v>106344</v>
      </c>
      <c r="E109" s="484">
        <v>101868</v>
      </c>
      <c r="F109" s="484">
        <v>95388</v>
      </c>
      <c r="G109" s="483">
        <f>C109*Prix!C$73/Prix!C109</f>
        <v>63834.016275334943</v>
      </c>
      <c r="H109" s="484">
        <f>D109*Prix!D$73/Prix!D109</f>
        <v>59786.202941451949</v>
      </c>
      <c r="I109" s="484">
        <f>E109*Prix!E$73/Prix!E109</f>
        <v>57269.812318888013</v>
      </c>
      <c r="J109" s="484">
        <f>F109*Prix!F$73/Prix!F109</f>
        <v>53626.780318393314</v>
      </c>
      <c r="K109" s="486">
        <f t="shared" si="9"/>
        <v>3.5796387520525386E-2</v>
      </c>
      <c r="L109" s="454">
        <f t="shared" si="9"/>
        <v>3.2746766111175774E-2</v>
      </c>
      <c r="M109" s="454">
        <f t="shared" si="9"/>
        <v>3.071879553181156E-2</v>
      </c>
      <c r="N109" s="454">
        <f t="shared" si="9"/>
        <v>2.7666451195862862E-2</v>
      </c>
      <c r="O109" s="486">
        <f t="shared" si="9"/>
        <v>1.7981707636879785E-2</v>
      </c>
      <c r="P109" s="454">
        <f t="shared" si="9"/>
        <v>1.4984536718600339E-2</v>
      </c>
      <c r="Q109" s="454">
        <f t="shared" si="9"/>
        <v>1.2991445240109645E-2</v>
      </c>
      <c r="R109" s="455">
        <f t="shared" si="9"/>
        <v>9.9915982268923287E-3</v>
      </c>
      <c r="S109" s="482"/>
    </row>
    <row r="110" spans="2:19" ht="15" customHeight="1" x14ac:dyDescent="0.25">
      <c r="B110" s="406">
        <v>2053</v>
      </c>
      <c r="C110" s="483">
        <v>117612</v>
      </c>
      <c r="D110" s="484">
        <v>109824</v>
      </c>
      <c r="E110" s="484">
        <v>105000</v>
      </c>
      <c r="F110" s="484">
        <v>98028</v>
      </c>
      <c r="G110" s="483">
        <f>C110*Prix!C$73/Prix!C110</f>
        <v>64983.81406287846</v>
      </c>
      <c r="H110" s="484">
        <f>D110*Prix!D$73/Prix!D110</f>
        <v>60680.733221453287</v>
      </c>
      <c r="I110" s="484">
        <f>E110*Prix!E$73/Prix!E110</f>
        <v>58015.342623220749</v>
      </c>
      <c r="J110" s="484">
        <f>F110*Prix!F$73/Prix!F110</f>
        <v>54163.123873038894</v>
      </c>
      <c r="K110" s="486">
        <f t="shared" si="9"/>
        <v>3.5827520608750829E-2</v>
      </c>
      <c r="L110" s="454">
        <f t="shared" si="9"/>
        <v>3.2723990069961628E-2</v>
      </c>
      <c r="M110" s="454">
        <f t="shared" si="9"/>
        <v>3.0745670868182362E-2</v>
      </c>
      <c r="N110" s="454">
        <f t="shared" si="9"/>
        <v>2.7676437287709188E-2</v>
      </c>
      <c r="O110" s="486">
        <f t="shared" si="9"/>
        <v>1.8012305266585482E-2</v>
      </c>
      <c r="P110" s="454">
        <f t="shared" si="9"/>
        <v>1.4962152402910434E-2</v>
      </c>
      <c r="Q110" s="454">
        <f t="shared" si="9"/>
        <v>1.3017858347107891E-2</v>
      </c>
      <c r="R110" s="455">
        <f t="shared" si="9"/>
        <v>1.0001412567772983E-2</v>
      </c>
      <c r="S110" s="482"/>
    </row>
    <row r="111" spans="2:19" ht="15" customHeight="1" x14ac:dyDescent="0.25">
      <c r="B111" s="406">
        <v>2054</v>
      </c>
      <c r="C111" s="483">
        <v>121824</v>
      </c>
      <c r="D111" s="484">
        <v>113424</v>
      </c>
      <c r="E111" s="484">
        <v>108228</v>
      </c>
      <c r="F111" s="484">
        <v>100740</v>
      </c>
      <c r="G111" s="483">
        <f>C111*Prix!C$73/Prix!C111</f>
        <v>66153.374046858487</v>
      </c>
      <c r="H111" s="484">
        <f>D111*Prix!D$73/Prix!D111</f>
        <v>61591.971187047522</v>
      </c>
      <c r="I111" s="484">
        <f>E111*Prix!E$73/Prix!E111</f>
        <v>58770.417703764455</v>
      </c>
      <c r="J111" s="484">
        <f>F111*Prix!F$73/Prix!F111</f>
        <v>54704.252868732961</v>
      </c>
      <c r="K111" s="486">
        <f t="shared" si="9"/>
        <v>3.5812672176308569E-2</v>
      </c>
      <c r="L111" s="454">
        <f t="shared" si="9"/>
        <v>3.2779720279720204E-2</v>
      </c>
      <c r="M111" s="454">
        <f t="shared" si="9"/>
        <v>3.0742857142857183E-2</v>
      </c>
      <c r="N111" s="454">
        <f t="shared" si="9"/>
        <v>2.7665564940629217E-2</v>
      </c>
      <c r="O111" s="486">
        <f t="shared" si="9"/>
        <v>1.7997712212588279E-2</v>
      </c>
      <c r="P111" s="454">
        <f t="shared" si="9"/>
        <v>1.5016924107833063E-2</v>
      </c>
      <c r="Q111" s="454">
        <f t="shared" si="9"/>
        <v>1.301509301509296E-2</v>
      </c>
      <c r="R111" s="455">
        <f t="shared" si="9"/>
        <v>9.9907272143775483E-3</v>
      </c>
      <c r="S111" s="482"/>
    </row>
    <row r="112" spans="2:19" ht="15" customHeight="1" x14ac:dyDescent="0.25">
      <c r="B112" s="406">
        <v>2055</v>
      </c>
      <c r="C112" s="483">
        <v>126180</v>
      </c>
      <c r="D112" s="484">
        <v>117132</v>
      </c>
      <c r="E112" s="484">
        <v>111552</v>
      </c>
      <c r="F112" s="484">
        <v>103524</v>
      </c>
      <c r="G112" s="483">
        <f>C112*Prix!C$73/Prix!C112</f>
        <v>67340.331443892341</v>
      </c>
      <c r="H112" s="484">
        <f>D112*Prix!D$73/Prix!D112</f>
        <v>62511.552565271813</v>
      </c>
      <c r="I112" s="484">
        <f>E112*Prix!E$73/Prix!E112</f>
        <v>59533.592116255175</v>
      </c>
      <c r="J112" s="484">
        <f>F112*Prix!F$73/Prix!F112</f>
        <v>55249.171599282854</v>
      </c>
      <c r="K112" s="486">
        <f t="shared" si="9"/>
        <v>3.5756501182033107E-2</v>
      </c>
      <c r="L112" s="454">
        <f t="shared" si="9"/>
        <v>3.2691493863732601E-2</v>
      </c>
      <c r="M112" s="454">
        <f t="shared" si="9"/>
        <v>3.0712939350260537E-2</v>
      </c>
      <c r="N112" s="454">
        <f t="shared" si="9"/>
        <v>2.7635497319833169E-2</v>
      </c>
      <c r="O112" s="486">
        <f t="shared" si="9"/>
        <v>1.7942507304209432E-2</v>
      </c>
      <c r="P112" s="454">
        <f t="shared" si="9"/>
        <v>1.4930215099491218E-2</v>
      </c>
      <c r="Q112" s="454">
        <f t="shared" si="9"/>
        <v>1.298568977912562E-2</v>
      </c>
      <c r="R112" s="455">
        <f t="shared" si="9"/>
        <v>9.9611767271086116E-3</v>
      </c>
      <c r="S112" s="482"/>
    </row>
    <row r="113" spans="2:19" ht="15" customHeight="1" x14ac:dyDescent="0.25">
      <c r="B113" s="406">
        <v>2056</v>
      </c>
      <c r="C113" s="483">
        <v>130692</v>
      </c>
      <c r="D113" s="484">
        <v>120972</v>
      </c>
      <c r="E113" s="484">
        <v>114972</v>
      </c>
      <c r="F113" s="484">
        <v>106392</v>
      </c>
      <c r="G113" s="483">
        <f>C113*Prix!C$73/Prix!C113</f>
        <v>68548.714169221828</v>
      </c>
      <c r="H113" s="484">
        <f>D113*Prix!D$73/Prix!D113</f>
        <v>63450.517632901043</v>
      </c>
      <c r="I113" s="484">
        <f>E113*Prix!E$73/Prix!E113</f>
        <v>60303.482733937592</v>
      </c>
      <c r="J113" s="484">
        <f>F113*Prix!F$73/Prix!F113</f>
        <v>55803.222828419865</v>
      </c>
      <c r="K113" s="486">
        <f t="shared" si="9"/>
        <v>3.5758440323347518E-2</v>
      </c>
      <c r="L113" s="454">
        <f t="shared" si="9"/>
        <v>3.2783526278045372E-2</v>
      </c>
      <c r="M113" s="454">
        <f t="shared" si="9"/>
        <v>3.065834767641995E-2</v>
      </c>
      <c r="N113" s="454">
        <f t="shared" si="9"/>
        <v>2.7703720876318449E-2</v>
      </c>
      <c r="O113" s="486">
        <f t="shared" si="9"/>
        <v>1.794441309419903E-2</v>
      </c>
      <c r="P113" s="454">
        <f t="shared" si="9"/>
        <v>1.5020664646727466E-2</v>
      </c>
      <c r="Q113" s="454">
        <f t="shared" si="9"/>
        <v>1.2932037028422494E-2</v>
      </c>
      <c r="R113" s="455">
        <f t="shared" si="9"/>
        <v>1.0028226905472781E-2</v>
      </c>
      <c r="S113" s="482"/>
    </row>
    <row r="114" spans="2:19" ht="15" customHeight="1" x14ac:dyDescent="0.25">
      <c r="B114" s="406">
        <v>2057</v>
      </c>
      <c r="C114" s="483">
        <v>135372</v>
      </c>
      <c r="D114" s="484">
        <v>124932</v>
      </c>
      <c r="E114" s="484">
        <v>118500</v>
      </c>
      <c r="F114" s="484">
        <v>109332</v>
      </c>
      <c r="G114" s="483">
        <f>C114*Prix!C$73/Prix!C114</f>
        <v>69782.212668710868</v>
      </c>
      <c r="H114" s="484">
        <f>D114*Prix!D$73/Prix!D114</f>
        <v>64400.551023309003</v>
      </c>
      <c r="I114" s="484">
        <f>E114*Prix!E$73/Prix!E114</f>
        <v>61084.952584302795</v>
      </c>
      <c r="J114" s="484">
        <f>F114*Prix!F$73/Prix!F114</f>
        <v>56358.98764512231</v>
      </c>
      <c r="K114" s="486">
        <f t="shared" si="9"/>
        <v>3.5809383894959135E-2</v>
      </c>
      <c r="L114" s="454">
        <f t="shared" si="9"/>
        <v>3.2734847733359773E-2</v>
      </c>
      <c r="M114" s="454">
        <f t="shared" si="9"/>
        <v>3.068573217826942E-2</v>
      </c>
      <c r="N114" s="454">
        <f t="shared" si="9"/>
        <v>2.7633656665914774E-2</v>
      </c>
      <c r="O114" s="486">
        <f t="shared" si="9"/>
        <v>1.7994480486446252E-2</v>
      </c>
      <c r="P114" s="454">
        <f t="shared" si="9"/>
        <v>1.4972823325169138E-2</v>
      </c>
      <c r="Q114" s="454">
        <f t="shared" si="9"/>
        <v>1.2958950543753733E-2</v>
      </c>
      <c r="R114" s="455">
        <f t="shared" si="9"/>
        <v>9.9593677306286654E-3</v>
      </c>
      <c r="S114" s="482"/>
    </row>
    <row r="115" spans="2:19" ht="15" customHeight="1" x14ac:dyDescent="0.25">
      <c r="B115" s="406">
        <v>2058</v>
      </c>
      <c r="C115" s="483">
        <v>140220</v>
      </c>
      <c r="D115" s="484">
        <v>129024</v>
      </c>
      <c r="E115" s="484">
        <v>122136</v>
      </c>
      <c r="F115" s="484">
        <v>112356</v>
      </c>
      <c r="G115" s="483">
        <f>C115*Prix!C$73/Prix!C115</f>
        <v>71038.116102144442</v>
      </c>
      <c r="H115" s="484">
        <f>D115*Prix!D$73/Prix!D115</f>
        <v>65366.009784360889</v>
      </c>
      <c r="I115" s="484">
        <f>E115*Prix!E$73/Prix!E115</f>
        <v>61876.418116185378</v>
      </c>
      <c r="J115" s="484">
        <f>F115*Prix!F$73/Prix!F115</f>
        <v>56921.684301615605</v>
      </c>
      <c r="K115" s="486">
        <f t="shared" si="9"/>
        <v>3.5812427976243288E-2</v>
      </c>
      <c r="L115" s="454">
        <f t="shared" si="9"/>
        <v>3.2753818077033925E-2</v>
      </c>
      <c r="M115" s="454">
        <f t="shared" si="9"/>
        <v>3.0683544303797383E-2</v>
      </c>
      <c r="N115" s="454">
        <f t="shared" si="9"/>
        <v>2.7658873888706026E-2</v>
      </c>
      <c r="O115" s="486">
        <f t="shared" si="9"/>
        <v>1.7997472212524235E-2</v>
      </c>
      <c r="P115" s="454">
        <f t="shared" si="9"/>
        <v>1.4991467397576397E-2</v>
      </c>
      <c r="Q115" s="454">
        <f t="shared" si="9"/>
        <v>1.2956800298572491E-2</v>
      </c>
      <c r="R115" s="455">
        <f t="shared" si="9"/>
        <v>9.984151241971384E-3</v>
      </c>
      <c r="S115" s="482"/>
    </row>
    <row r="116" spans="2:19" ht="15" customHeight="1" x14ac:dyDescent="0.25">
      <c r="B116" s="406">
        <v>2059</v>
      </c>
      <c r="C116" s="483">
        <v>145248</v>
      </c>
      <c r="D116" s="484">
        <v>133248</v>
      </c>
      <c r="E116" s="484">
        <v>125892</v>
      </c>
      <c r="F116" s="484">
        <v>115464</v>
      </c>
      <c r="G116" s="483">
        <f>C116*Prix!C$73/Prix!C116</f>
        <v>72319.799932533366</v>
      </c>
      <c r="H116" s="484">
        <f>D116*Prix!D$73/Prix!D116</f>
        <v>66344.932125813822</v>
      </c>
      <c r="I116" s="484">
        <f>E116*Prix!E$73/Prix!E116</f>
        <v>62682.338160294741</v>
      </c>
      <c r="J116" s="484">
        <f>F116*Prix!F$73/Prix!F116</f>
        <v>57490.178036255456</v>
      </c>
      <c r="K116" s="486">
        <f t="shared" si="9"/>
        <v>3.58579375267436E-2</v>
      </c>
      <c r="L116" s="454">
        <f t="shared" si="9"/>
        <v>3.2738095238095344E-2</v>
      </c>
      <c r="M116" s="454">
        <f t="shared" si="9"/>
        <v>3.0752603654941923E-2</v>
      </c>
      <c r="N116" s="454">
        <f t="shared" si="9"/>
        <v>2.7662074121542313E-2</v>
      </c>
      <c r="O116" s="486">
        <f t="shared" si="9"/>
        <v>1.8042199043482698E-2</v>
      </c>
      <c r="P116" s="454">
        <f t="shared" si="9"/>
        <v>1.4976014976014973E-2</v>
      </c>
      <c r="Q116" s="454">
        <f t="shared" si="9"/>
        <v>1.302467189674883E-2</v>
      </c>
      <c r="R116" s="455">
        <f t="shared" si="9"/>
        <v>9.9872964339482451E-3</v>
      </c>
      <c r="S116" s="482"/>
    </row>
    <row r="117" spans="2:19" ht="15" customHeight="1" x14ac:dyDescent="0.25">
      <c r="B117" s="406">
        <v>2060</v>
      </c>
      <c r="C117" s="483">
        <v>150456</v>
      </c>
      <c r="D117" s="484">
        <v>137616</v>
      </c>
      <c r="E117" s="484">
        <v>129756</v>
      </c>
      <c r="F117" s="484">
        <v>118656</v>
      </c>
      <c r="G117" s="483">
        <f>C117*Prix!C$73/Prix!C117</f>
        <v>73624.464433070898</v>
      </c>
      <c r="H117" s="484">
        <f>D117*Prix!D$73/Prix!D117</f>
        <v>67341.311063842484</v>
      </c>
      <c r="I117" s="484">
        <f>E117*Prix!E$73/Prix!E117</f>
        <v>63495.081664922291</v>
      </c>
      <c r="J117" s="484">
        <f>F117*Prix!F$73/Prix!F117</f>
        <v>58063.383658813611</v>
      </c>
      <c r="K117" s="486">
        <f t="shared" si="9"/>
        <v>3.5855915399867877E-2</v>
      </c>
      <c r="L117" s="454">
        <f t="shared" si="9"/>
        <v>3.2780979827089274E-2</v>
      </c>
      <c r="M117" s="454">
        <f t="shared" si="9"/>
        <v>3.0692974930893069E-2</v>
      </c>
      <c r="N117" s="454">
        <f t="shared" si="9"/>
        <v>2.7644980253585638E-2</v>
      </c>
      <c r="O117" s="486">
        <f t="shared" si="9"/>
        <v>1.8040211695201647E-2</v>
      </c>
      <c r="P117" s="454">
        <f t="shared" si="9"/>
        <v>1.5018161992225165E-2</v>
      </c>
      <c r="Q117" s="454">
        <f t="shared" si="9"/>
        <v>1.2966068728150537E-2</v>
      </c>
      <c r="R117" s="455">
        <f t="shared" si="9"/>
        <v>9.9704965637203991E-3</v>
      </c>
      <c r="S117" s="482"/>
    </row>
    <row r="118" spans="2:19" ht="15" customHeight="1" x14ac:dyDescent="0.25">
      <c r="B118" s="406">
        <v>2061</v>
      </c>
      <c r="C118" s="483">
        <v>155844</v>
      </c>
      <c r="D118" s="484">
        <v>142128</v>
      </c>
      <c r="E118" s="484">
        <v>133740</v>
      </c>
      <c r="F118" s="484">
        <v>121944</v>
      </c>
      <c r="G118" s="483">
        <f>C118*Prix!C$73/Prix!C118</f>
        <v>74949.42506709171</v>
      </c>
      <c r="H118" s="484">
        <f>D118*Prix!D$73/Prix!D118</f>
        <v>68353.044621131456</v>
      </c>
      <c r="I118" s="484">
        <f>E118*Prix!E$73/Prix!E118</f>
        <v>64319.037681738431</v>
      </c>
      <c r="J118" s="484">
        <f>F118*Prix!F$73/Prix!F118</f>
        <v>58646.035075982589</v>
      </c>
      <c r="K118" s="486">
        <f t="shared" si="9"/>
        <v>3.5811134152177404E-2</v>
      </c>
      <c r="L118" s="454">
        <f t="shared" si="9"/>
        <v>3.2786885245901676E-2</v>
      </c>
      <c r="M118" s="454">
        <f t="shared" si="9"/>
        <v>3.0703782484047037E-2</v>
      </c>
      <c r="N118" s="454">
        <f t="shared" si="9"/>
        <v>2.7710355987055069E-2</v>
      </c>
      <c r="O118" s="486">
        <f t="shared" si="9"/>
        <v>1.7996200640960636E-2</v>
      </c>
      <c r="P118" s="454">
        <f t="shared" si="9"/>
        <v>1.5023965843637965E-2</v>
      </c>
      <c r="Q118" s="454">
        <f t="shared" si="9"/>
        <v>1.2976690402011659E-2</v>
      </c>
      <c r="R118" s="455">
        <f t="shared" si="9"/>
        <v>1.0034747898825414E-2</v>
      </c>
    </row>
    <row r="119" spans="2:19" ht="15" customHeight="1" x14ac:dyDescent="0.25">
      <c r="B119" s="406">
        <v>2062</v>
      </c>
      <c r="C119" s="483">
        <v>161424</v>
      </c>
      <c r="D119" s="484">
        <v>146784</v>
      </c>
      <c r="E119" s="484">
        <v>137844</v>
      </c>
      <c r="F119" s="484">
        <v>125316</v>
      </c>
      <c r="G119" s="483">
        <f>C119*Prix!C$73/Prix!C119</f>
        <v>76297.780752025326</v>
      </c>
      <c r="H119" s="484">
        <f>D119*Prix!D$73/Prix!D119</f>
        <v>69378.118804547557</v>
      </c>
      <c r="I119" s="484">
        <f>E119*Prix!E$73/Prix!E119</f>
        <v>65152.587533341888</v>
      </c>
      <c r="J119" s="484">
        <f>F119*Prix!F$73/Prix!F119</f>
        <v>59231.171899598616</v>
      </c>
      <c r="K119" s="486">
        <f t="shared" si="9"/>
        <v>3.5805035805035912E-2</v>
      </c>
      <c r="L119" s="454">
        <f t="shared" si="9"/>
        <v>3.2759202971968993E-2</v>
      </c>
      <c r="M119" s="454">
        <f t="shared" si="9"/>
        <v>3.0686406460296078E-2</v>
      </c>
      <c r="N119" s="454">
        <f t="shared" si="9"/>
        <v>2.7652037000590379E-2</v>
      </c>
      <c r="O119" s="486">
        <f t="shared" si="9"/>
        <v>1.7990207179396256E-2</v>
      </c>
      <c r="P119" s="454">
        <f t="shared" si="9"/>
        <v>1.4996759677610605E-2</v>
      </c>
      <c r="Q119" s="454">
        <f t="shared" si="9"/>
        <v>1.2959613228792355E-2</v>
      </c>
      <c r="R119" s="455">
        <f t="shared" si="9"/>
        <v>9.9774319416123802E-3</v>
      </c>
    </row>
    <row r="120" spans="2:19" ht="15" customHeight="1" x14ac:dyDescent="0.25">
      <c r="B120" s="406">
        <v>2063</v>
      </c>
      <c r="C120" s="483">
        <v>167208</v>
      </c>
      <c r="D120" s="484">
        <v>151596</v>
      </c>
      <c r="E120" s="484">
        <v>142080</v>
      </c>
      <c r="F120" s="484">
        <v>128784</v>
      </c>
      <c r="G120" s="483">
        <f>C120*Prix!C$73/Prix!C120</f>
        <v>77672.348311237904</v>
      </c>
      <c r="H120" s="484">
        <f>D120*Prix!D$73/Prix!D120</f>
        <v>70420.179145677364</v>
      </c>
      <c r="I120" s="484">
        <f>E120*Prix!E$73/Prix!E120</f>
        <v>65999.75627996675</v>
      </c>
      <c r="J120" s="484">
        <f>F120*Prix!F$73/Prix!F120</f>
        <v>59823.427736199592</v>
      </c>
      <c r="K120" s="486">
        <f t="shared" si="9"/>
        <v>3.5831103181682922E-2</v>
      </c>
      <c r="L120" s="454">
        <f t="shared" si="9"/>
        <v>3.2782864617397101E-2</v>
      </c>
      <c r="M120" s="454">
        <f t="shared" si="9"/>
        <v>3.0730390876643199E-2</v>
      </c>
      <c r="N120" s="454">
        <f t="shared" si="9"/>
        <v>2.7674040026812285E-2</v>
      </c>
      <c r="O120" s="486">
        <f t="shared" si="9"/>
        <v>1.8015826222784304E-2</v>
      </c>
      <c r="P120" s="454">
        <f t="shared" si="9"/>
        <v>1.5020014365991985E-2</v>
      </c>
      <c r="Q120" s="454">
        <f t="shared" si="9"/>
        <v>1.3002841156405598E-2</v>
      </c>
      <c r="R120" s="455">
        <f t="shared" si="9"/>
        <v>9.9990565374072915E-3</v>
      </c>
    </row>
    <row r="121" spans="2:19" ht="15" customHeight="1" x14ac:dyDescent="0.25">
      <c r="B121" s="406">
        <v>2064</v>
      </c>
      <c r="C121" s="483">
        <v>173196</v>
      </c>
      <c r="D121" s="484">
        <v>156564</v>
      </c>
      <c r="E121" s="484">
        <v>146448</v>
      </c>
      <c r="F121" s="484">
        <v>132348</v>
      </c>
      <c r="G121" s="483">
        <f>C121*Prix!C$73/Prix!C121</f>
        <v>79070.197422534708</v>
      </c>
      <c r="H121" s="484">
        <f>D121*Prix!D$73/Prix!D121</f>
        <v>71477.091787695579</v>
      </c>
      <c r="I121" s="484">
        <f>E121*Prix!E$73/Prix!E121</f>
        <v>66858.774291180875</v>
      </c>
      <c r="J121" s="484">
        <f>F121*Prix!F$73/Prix!F121</f>
        <v>60421.617638268923</v>
      </c>
      <c r="K121" s="486">
        <f t="shared" si="9"/>
        <v>3.5811683651499893E-2</v>
      </c>
      <c r="L121" s="454">
        <f t="shared" si="9"/>
        <v>3.2771313227262011E-2</v>
      </c>
      <c r="M121" s="454">
        <f t="shared" si="9"/>
        <v>3.074324324324329E-2</v>
      </c>
      <c r="N121" s="454">
        <f t="shared" si="9"/>
        <v>2.7674245247856888E-2</v>
      </c>
      <c r="O121" s="486">
        <f t="shared" si="9"/>
        <v>1.7996740689434798E-2</v>
      </c>
      <c r="P121" s="454">
        <f t="shared" si="9"/>
        <v>1.5008661648414634E-2</v>
      </c>
      <c r="Q121" s="454">
        <f t="shared" si="9"/>
        <v>1.3015472474931844E-2</v>
      </c>
      <c r="R121" s="455">
        <f t="shared" si="9"/>
        <v>9.9992582288521703E-3</v>
      </c>
    </row>
    <row r="122" spans="2:19" ht="15" customHeight="1" x14ac:dyDescent="0.25">
      <c r="B122" s="406">
        <v>2065</v>
      </c>
      <c r="C122" s="483">
        <v>179400</v>
      </c>
      <c r="D122" s="484">
        <v>161700</v>
      </c>
      <c r="E122" s="484">
        <v>150948</v>
      </c>
      <c r="F122" s="484">
        <v>136020</v>
      </c>
      <c r="G122" s="483">
        <f>C122*Prix!C$73/Prix!C122</f>
        <v>80493.903046502179</v>
      </c>
      <c r="H122" s="484">
        <f>D122*Prix!D$73/Prix!D122</f>
        <v>72552.196893084736</v>
      </c>
      <c r="I122" s="484">
        <f>E122*Prix!E$73/Prix!E122</f>
        <v>67727.946917856243</v>
      </c>
      <c r="J122" s="484">
        <f>F122*Prix!F$73/Prix!F122</f>
        <v>61029.992711177409</v>
      </c>
      <c r="K122" s="486">
        <f t="shared" si="9"/>
        <v>3.5820688699508052E-2</v>
      </c>
      <c r="L122" s="454">
        <f t="shared" si="9"/>
        <v>3.2804476124779658E-2</v>
      </c>
      <c r="M122" s="454">
        <f t="shared" si="9"/>
        <v>3.0727630285152463E-2</v>
      </c>
      <c r="N122" s="454">
        <f t="shared" si="9"/>
        <v>2.7745035814670471E-2</v>
      </c>
      <c r="O122" s="486">
        <f t="shared" si="9"/>
        <v>1.8005590859467402E-2</v>
      </c>
      <c r="P122" s="454">
        <f t="shared" si="9"/>
        <v>1.5041254176687557E-2</v>
      </c>
      <c r="Q122" s="454">
        <f t="shared" si="9"/>
        <v>1.3000128044375669E-2</v>
      </c>
      <c r="R122" s="455">
        <f t="shared" si="9"/>
        <v>1.0068831267489253E-2</v>
      </c>
    </row>
    <row r="123" spans="2:19" ht="15" customHeight="1" x14ac:dyDescent="0.25">
      <c r="B123" s="406">
        <v>2066</v>
      </c>
      <c r="C123" s="483">
        <v>185832</v>
      </c>
      <c r="D123" s="484">
        <v>167004</v>
      </c>
      <c r="E123" s="484">
        <v>155592</v>
      </c>
      <c r="F123" s="484">
        <v>139788</v>
      </c>
      <c r="G123" s="483">
        <f>C123*Prix!C$73/Prix!C123</f>
        <v>81945.787026575577</v>
      </c>
      <c r="H123" s="484">
        <f>D123*Prix!D$73/Prix!D123</f>
        <v>73643.25959246108</v>
      </c>
      <c r="I123" s="484">
        <f>E123*Prix!E$73/Prix!E123</f>
        <v>68610.943728953833</v>
      </c>
      <c r="J123" s="484">
        <f>F123*Prix!F$73/Prix!F123</f>
        <v>61641.900624601512</v>
      </c>
      <c r="K123" s="486">
        <f t="shared" si="9"/>
        <v>3.5852842809364516E-2</v>
      </c>
      <c r="L123" s="454">
        <f t="shared" si="9"/>
        <v>3.2801484230055689E-2</v>
      </c>
      <c r="M123" s="454">
        <f t="shared" si="9"/>
        <v>3.0765561650369699E-2</v>
      </c>
      <c r="N123" s="454">
        <f t="shared" si="9"/>
        <v>2.77018085575651E-2</v>
      </c>
      <c r="O123" s="486">
        <f t="shared" si="9"/>
        <v>1.8037191950235343E-2</v>
      </c>
      <c r="P123" s="454">
        <f t="shared" si="9"/>
        <v>1.5038313739612397E-2</v>
      </c>
      <c r="Q123" s="454">
        <f t="shared" si="9"/>
        <v>1.3037407027390424E-2</v>
      </c>
      <c r="R123" s="455">
        <f t="shared" si="9"/>
        <v>1.0026347476722375E-2</v>
      </c>
    </row>
    <row r="124" spans="2:19" ht="15" customHeight="1" x14ac:dyDescent="0.25">
      <c r="B124" s="406">
        <v>2067</v>
      </c>
      <c r="C124" s="483">
        <v>192492</v>
      </c>
      <c r="D124" s="484">
        <v>172476</v>
      </c>
      <c r="E124" s="484">
        <v>160380</v>
      </c>
      <c r="F124" s="484">
        <v>143664</v>
      </c>
      <c r="G124" s="483">
        <f>C124*Prix!C$73/Prix!C124</f>
        <v>83422.72974421845</v>
      </c>
      <c r="H124" s="484">
        <f>D124*Prix!D$73/Prix!D124</f>
        <v>74748.138807658615</v>
      </c>
      <c r="I124" s="484">
        <f>E124*Prix!E$73/Prix!E124</f>
        <v>69505.939968298699</v>
      </c>
      <c r="J124" s="484">
        <f>F124*Prix!F$73/Prix!F124</f>
        <v>62261.512405572175</v>
      </c>
      <c r="K124" s="486">
        <f t="shared" si="9"/>
        <v>3.5838822161952777E-2</v>
      </c>
      <c r="L124" s="454">
        <f t="shared" si="9"/>
        <v>3.2765682259107587E-2</v>
      </c>
      <c r="M124" s="454">
        <f t="shared" si="9"/>
        <v>3.0772790374826497E-2</v>
      </c>
      <c r="N124" s="454">
        <f t="shared" si="9"/>
        <v>2.7727701948665029E-2</v>
      </c>
      <c r="O124" s="486">
        <f t="shared" si="9"/>
        <v>1.8023412444179598E-2</v>
      </c>
      <c r="P124" s="454">
        <f t="shared" si="9"/>
        <v>1.5003127527378535E-2</v>
      </c>
      <c r="Q124" s="454">
        <f t="shared" si="9"/>
        <v>1.3044511424890715E-2</v>
      </c>
      <c r="R124" s="455">
        <f t="shared" si="9"/>
        <v>1.0051795526943463E-2</v>
      </c>
    </row>
    <row r="125" spans="2:19" ht="15" customHeight="1" x14ac:dyDescent="0.25">
      <c r="B125" s="406">
        <v>2068</v>
      </c>
      <c r="C125" s="483">
        <v>199392</v>
      </c>
      <c r="D125" s="484">
        <v>178128</v>
      </c>
      <c r="E125" s="484">
        <v>165312</v>
      </c>
      <c r="F125" s="484">
        <v>147648</v>
      </c>
      <c r="G125" s="483">
        <f>C125*Prix!C$73/Prix!C125</f>
        <v>84926.851443785476</v>
      </c>
      <c r="H125" s="484">
        <f>D125*Prix!D$73/Prix!D125</f>
        <v>75869.895452067372</v>
      </c>
      <c r="I125" s="484">
        <f>E125*Prix!E$73/Prix!E125</f>
        <v>70411.188341934816</v>
      </c>
      <c r="J125" s="484">
        <f>F125*Prix!F$73/Prix!F125</f>
        <v>62887.577044074169</v>
      </c>
      <c r="K125" s="486">
        <f t="shared" si="9"/>
        <v>3.5845645533320925E-2</v>
      </c>
      <c r="L125" s="454">
        <f t="shared" si="9"/>
        <v>3.2769776664579364E-2</v>
      </c>
      <c r="M125" s="454">
        <f t="shared" si="9"/>
        <v>3.0751964085297345E-2</v>
      </c>
      <c r="N125" s="454">
        <f t="shared" si="9"/>
        <v>2.7731373204143095E-2</v>
      </c>
      <c r="O125" s="486">
        <f t="shared" si="9"/>
        <v>1.8030118460266031E-2</v>
      </c>
      <c r="P125" s="454">
        <f t="shared" si="9"/>
        <v>1.5007151513099837E-2</v>
      </c>
      <c r="Q125" s="454">
        <f t="shared" si="9"/>
        <v>1.3024043327073853E-2</v>
      </c>
      <c r="R125" s="455">
        <f t="shared" si="9"/>
        <v>1.0055403640435223E-2</v>
      </c>
    </row>
    <row r="126" spans="2:19" ht="15" customHeight="1" x14ac:dyDescent="0.25">
      <c r="B126" s="406">
        <v>2069</v>
      </c>
      <c r="C126" s="483">
        <v>206544</v>
      </c>
      <c r="D126" s="484">
        <v>183972</v>
      </c>
      <c r="E126" s="484">
        <v>170400</v>
      </c>
      <c r="F126" s="484">
        <v>151740</v>
      </c>
      <c r="G126" s="483">
        <f>C126*Prix!C$73/Prix!C126</f>
        <v>86460.045440375732</v>
      </c>
      <c r="H126" s="484">
        <f>D126*Prix!D$73/Prix!D126</f>
        <v>77011.326786335121</v>
      </c>
      <c r="I126" s="484">
        <f>E126*Prix!E$73/Prix!E126</f>
        <v>71330.039812534</v>
      </c>
      <c r="J126" s="484">
        <f>F126*Prix!F$73/Prix!F126</f>
        <v>63518.8981288375</v>
      </c>
      <c r="K126" s="486">
        <f t="shared" si="9"/>
        <v>3.5869041887337527E-2</v>
      </c>
      <c r="L126" s="454">
        <f t="shared" si="9"/>
        <v>3.2807868499056925E-2</v>
      </c>
      <c r="M126" s="454">
        <f t="shared" si="9"/>
        <v>3.0778164924506468E-2</v>
      </c>
      <c r="N126" s="454">
        <f t="shared" si="9"/>
        <v>2.7714564369310857E-2</v>
      </c>
      <c r="O126" s="486">
        <f t="shared" si="9"/>
        <v>1.8053112419987638E-2</v>
      </c>
      <c r="P126" s="454">
        <f t="shared" si="9"/>
        <v>1.5044588205461285E-2</v>
      </c>
      <c r="Q126" s="454">
        <f t="shared" si="9"/>
        <v>1.3049793537598164E-2</v>
      </c>
      <c r="R126" s="455">
        <f t="shared" si="9"/>
        <v>1.0038883901042572E-2</v>
      </c>
    </row>
    <row r="127" spans="2:19" ht="15" customHeight="1" thickBot="1" x14ac:dyDescent="0.3">
      <c r="B127" s="413">
        <v>2070</v>
      </c>
      <c r="C127" s="488">
        <v>213948</v>
      </c>
      <c r="D127" s="489">
        <v>190008</v>
      </c>
      <c r="E127" s="489">
        <v>175644</v>
      </c>
      <c r="F127" s="489">
        <v>155940</v>
      </c>
      <c r="G127" s="488">
        <f>C127*Prix!C$73/Prix!C127</f>
        <v>88019.05248417957</v>
      </c>
      <c r="H127" s="489">
        <f>D127*Prix!D$73/Prix!D127</f>
        <v>78170.041899966309</v>
      </c>
      <c r="I127" s="489">
        <f>E127*Prix!E$73/Prix!E127</f>
        <v>72260.635549438346</v>
      </c>
      <c r="J127" s="489">
        <f>F127*Prix!F$73/Prix!F127</f>
        <v>64154.332101178617</v>
      </c>
      <c r="K127" s="491">
        <f t="shared" si="9"/>
        <v>3.5847083430164961E-2</v>
      </c>
      <c r="L127" s="459">
        <f t="shared" si="9"/>
        <v>3.2809340551823052E-2</v>
      </c>
      <c r="M127" s="459">
        <f t="shared" si="9"/>
        <v>3.0774647887323869E-2</v>
      </c>
      <c r="N127" s="459">
        <f t="shared" si="9"/>
        <v>2.767892447607756E-2</v>
      </c>
      <c r="O127" s="491">
        <f t="shared" si="9"/>
        <v>1.8031531626697461E-2</v>
      </c>
      <c r="P127" s="459">
        <f t="shared" si="9"/>
        <v>1.5046034940366493E-2</v>
      </c>
      <c r="Q127" s="459">
        <f t="shared" si="9"/>
        <v>1.3046336989998686E-2</v>
      </c>
      <c r="R127" s="460">
        <f t="shared" si="9"/>
        <v>1.0003856978945791E-2</v>
      </c>
    </row>
    <row r="128" spans="2:19" x14ac:dyDescent="0.25">
      <c r="B128" s="493"/>
    </row>
    <row r="129" spans="2:2" x14ac:dyDescent="0.25">
      <c r="B129" s="493"/>
    </row>
    <row r="130" spans="2:2" x14ac:dyDescent="0.25">
      <c r="B130" s="493"/>
    </row>
    <row r="131" spans="2:2" x14ac:dyDescent="0.25">
      <c r="B131" s="493"/>
    </row>
    <row r="132" spans="2:2" x14ac:dyDescent="0.25">
      <c r="B132" s="493"/>
    </row>
    <row r="133" spans="2:2" x14ac:dyDescent="0.25">
      <c r="B133" s="493"/>
    </row>
    <row r="134" spans="2:2" x14ac:dyDescent="0.25">
      <c r="B134" s="493"/>
    </row>
    <row r="135" spans="2:2" x14ac:dyDescent="0.25">
      <c r="B135" s="493"/>
    </row>
    <row r="136" spans="2:2" x14ac:dyDescent="0.25">
      <c r="B136" s="493"/>
    </row>
    <row r="137" spans="2:2" x14ac:dyDescent="0.25">
      <c r="B137" s="493"/>
    </row>
    <row r="138" spans="2:2" x14ac:dyDescent="0.25">
      <c r="B138" s="493"/>
    </row>
    <row r="139" spans="2:2" x14ac:dyDescent="0.25">
      <c r="B139" s="493"/>
    </row>
    <row r="140" spans="2:2" x14ac:dyDescent="0.25">
      <c r="B140" s="493"/>
    </row>
    <row r="141" spans="2:2" x14ac:dyDescent="0.25">
      <c r="B141" s="493"/>
    </row>
    <row r="142" spans="2:2" x14ac:dyDescent="0.25">
      <c r="B142" s="493"/>
    </row>
  </sheetData>
  <mergeCells count="5">
    <mergeCell ref="B4:B5"/>
    <mergeCell ref="C4:F4"/>
    <mergeCell ref="G4:J4"/>
    <mergeCell ref="K4:N4"/>
    <mergeCell ref="O4:R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N127"/>
  <sheetViews>
    <sheetView topLeftCell="A36" workbookViewId="0">
      <selection activeCell="A22" sqref="A1:XFD1048576"/>
    </sheetView>
  </sheetViews>
  <sheetFormatPr baseColWidth="10" defaultColWidth="10.85546875" defaultRowHeight="15" x14ac:dyDescent="0.25"/>
  <cols>
    <col min="1" max="1" width="3.140625" style="583" customWidth="1"/>
    <col min="2" max="2" width="10.85546875" style="583"/>
    <col min="3" max="10" width="18.140625" style="583" customWidth="1"/>
    <col min="11" max="11" width="10.85546875" style="583"/>
    <col min="12" max="12" width="20.42578125" style="583" bestFit="1" customWidth="1"/>
    <col min="13" max="16384" width="10.85546875" style="583"/>
  </cols>
  <sheetData>
    <row r="1" spans="2:11" ht="23.25" x14ac:dyDescent="0.35">
      <c r="B1" s="582" t="s">
        <v>356</v>
      </c>
    </row>
    <row r="2" spans="2:11" x14ac:dyDescent="0.25">
      <c r="B2" s="583" t="s">
        <v>357</v>
      </c>
    </row>
    <row r="3" spans="2:11" ht="15.75" thickBot="1" x14ac:dyDescent="0.3"/>
    <row r="4" spans="2:11" ht="22.5" customHeight="1" x14ac:dyDescent="0.25">
      <c r="B4" s="841" t="s">
        <v>10</v>
      </c>
      <c r="C4" s="832" t="s">
        <v>358</v>
      </c>
      <c r="D4" s="833"/>
      <c r="E4" s="833"/>
      <c r="F4" s="834"/>
      <c r="G4" s="837" t="s">
        <v>321</v>
      </c>
      <c r="H4" s="843"/>
      <c r="I4" s="843"/>
      <c r="J4" s="844"/>
    </row>
    <row r="5" spans="2:11" ht="36.75" customHeight="1" thickBot="1" x14ac:dyDescent="0.3">
      <c r="B5" s="842"/>
      <c r="C5" s="422" t="s">
        <v>316</v>
      </c>
      <c r="D5" s="585" t="s">
        <v>317</v>
      </c>
      <c r="E5" s="536" t="s">
        <v>318</v>
      </c>
      <c r="F5" s="586" t="s">
        <v>319</v>
      </c>
      <c r="G5" s="419" t="s">
        <v>316</v>
      </c>
      <c r="H5" s="585" t="s">
        <v>317</v>
      </c>
      <c r="I5" s="536" t="s">
        <v>318</v>
      </c>
      <c r="J5" s="587" t="s">
        <v>319</v>
      </c>
    </row>
    <row r="6" spans="2:11" x14ac:dyDescent="0.25">
      <c r="B6" s="634">
        <v>1949</v>
      </c>
      <c r="C6" s="635">
        <v>4.9699999999999994E-2</v>
      </c>
      <c r="D6" s="636">
        <f>C6</f>
        <v>4.9699999999999994E-2</v>
      </c>
      <c r="E6" s="636">
        <f>D6</f>
        <v>4.9699999999999994E-2</v>
      </c>
      <c r="F6" s="637">
        <f>E6</f>
        <v>4.9699999999999994E-2</v>
      </c>
      <c r="G6" s="638"/>
      <c r="H6" s="639"/>
      <c r="I6" s="639"/>
      <c r="J6" s="640"/>
    </row>
    <row r="7" spans="2:11" x14ac:dyDescent="0.25">
      <c r="B7" s="641">
        <v>1950</v>
      </c>
      <c r="C7" s="642">
        <v>5.4699999999999999E-2</v>
      </c>
      <c r="D7" s="643">
        <f t="shared" ref="D7:F22" si="0">C7</f>
        <v>5.4699999999999999E-2</v>
      </c>
      <c r="E7" s="643">
        <f t="shared" si="0"/>
        <v>5.4699999999999999E-2</v>
      </c>
      <c r="F7" s="644">
        <f t="shared" si="0"/>
        <v>5.4699999999999999E-2</v>
      </c>
      <c r="G7" s="465">
        <f>C7/C6-1</f>
        <v>0.10060362173038229</v>
      </c>
      <c r="H7" s="466">
        <f>D7/D6-1</f>
        <v>0.10060362173038229</v>
      </c>
      <c r="I7" s="466">
        <f>E7/E6-1</f>
        <v>0.10060362173038229</v>
      </c>
      <c r="J7" s="467">
        <f>F7/F6-1</f>
        <v>0.10060362173038229</v>
      </c>
      <c r="K7" s="645"/>
    </row>
    <row r="8" spans="2:11" x14ac:dyDescent="0.25">
      <c r="B8" s="641">
        <v>1951</v>
      </c>
      <c r="C8" s="642">
        <v>6.3500000000000001E-2</v>
      </c>
      <c r="D8" s="643">
        <f t="shared" si="0"/>
        <v>6.3500000000000001E-2</v>
      </c>
      <c r="E8" s="643">
        <f t="shared" si="0"/>
        <v>6.3500000000000001E-2</v>
      </c>
      <c r="F8" s="644">
        <f t="shared" si="0"/>
        <v>6.3500000000000001E-2</v>
      </c>
      <c r="G8" s="465">
        <f t="shared" ref="G8:J71" si="1">C8/C7-1</f>
        <v>0.16087751371115178</v>
      </c>
      <c r="H8" s="466">
        <f t="shared" si="1"/>
        <v>0.16087751371115178</v>
      </c>
      <c r="I8" s="466">
        <f t="shared" si="1"/>
        <v>0.16087751371115178</v>
      </c>
      <c r="J8" s="467">
        <f t="shared" si="1"/>
        <v>0.16087751371115178</v>
      </c>
    </row>
    <row r="9" spans="2:11" x14ac:dyDescent="0.25">
      <c r="B9" s="641">
        <v>1952</v>
      </c>
      <c r="C9" s="642">
        <v>7.1099999999999997E-2</v>
      </c>
      <c r="D9" s="643">
        <f t="shared" si="0"/>
        <v>7.1099999999999997E-2</v>
      </c>
      <c r="E9" s="643">
        <f t="shared" si="0"/>
        <v>7.1099999999999997E-2</v>
      </c>
      <c r="F9" s="644">
        <f t="shared" si="0"/>
        <v>7.1099999999999997E-2</v>
      </c>
      <c r="G9" s="465">
        <f t="shared" si="1"/>
        <v>0.11968503937007857</v>
      </c>
      <c r="H9" s="466">
        <f t="shared" si="1"/>
        <v>0.11968503937007857</v>
      </c>
      <c r="I9" s="466">
        <f t="shared" si="1"/>
        <v>0.11968503937007857</v>
      </c>
      <c r="J9" s="467">
        <f t="shared" si="1"/>
        <v>0.11968503937007857</v>
      </c>
    </row>
    <row r="10" spans="2:11" x14ac:dyDescent="0.25">
      <c r="B10" s="641">
        <v>1953</v>
      </c>
      <c r="C10" s="642">
        <v>6.9900000000000004E-2</v>
      </c>
      <c r="D10" s="643">
        <f t="shared" si="0"/>
        <v>6.9900000000000004E-2</v>
      </c>
      <c r="E10" s="643">
        <f t="shared" si="0"/>
        <v>6.9900000000000004E-2</v>
      </c>
      <c r="F10" s="644">
        <f t="shared" si="0"/>
        <v>6.9900000000000004E-2</v>
      </c>
      <c r="G10" s="465">
        <f t="shared" si="1"/>
        <v>-1.6877637130801593E-2</v>
      </c>
      <c r="H10" s="466">
        <f t="shared" si="1"/>
        <v>-1.6877637130801593E-2</v>
      </c>
      <c r="I10" s="466">
        <f t="shared" si="1"/>
        <v>-1.6877637130801593E-2</v>
      </c>
      <c r="J10" s="467">
        <f t="shared" si="1"/>
        <v>-1.6877637130801593E-2</v>
      </c>
    </row>
    <row r="11" spans="2:11" x14ac:dyDescent="0.25">
      <c r="B11" s="641">
        <v>1954</v>
      </c>
      <c r="C11" s="642">
        <v>7.0199999999999999E-2</v>
      </c>
      <c r="D11" s="643">
        <f t="shared" si="0"/>
        <v>7.0199999999999999E-2</v>
      </c>
      <c r="E11" s="643">
        <f t="shared" si="0"/>
        <v>7.0199999999999999E-2</v>
      </c>
      <c r="F11" s="644">
        <f t="shared" si="0"/>
        <v>7.0199999999999999E-2</v>
      </c>
      <c r="G11" s="465">
        <f t="shared" si="1"/>
        <v>4.2918454935620964E-3</v>
      </c>
      <c r="H11" s="466">
        <f t="shared" si="1"/>
        <v>4.2918454935620964E-3</v>
      </c>
      <c r="I11" s="466">
        <f t="shared" si="1"/>
        <v>4.2918454935620964E-3</v>
      </c>
      <c r="J11" s="467">
        <f t="shared" si="1"/>
        <v>4.2918454935620964E-3</v>
      </c>
    </row>
    <row r="12" spans="2:11" x14ac:dyDescent="0.25">
      <c r="B12" s="641">
        <v>1955</v>
      </c>
      <c r="C12" s="642">
        <v>7.0900000000000005E-2</v>
      </c>
      <c r="D12" s="643">
        <f t="shared" si="0"/>
        <v>7.0900000000000005E-2</v>
      </c>
      <c r="E12" s="643">
        <f t="shared" si="0"/>
        <v>7.0900000000000005E-2</v>
      </c>
      <c r="F12" s="644">
        <f t="shared" si="0"/>
        <v>7.0900000000000005E-2</v>
      </c>
      <c r="G12" s="465">
        <f t="shared" si="1"/>
        <v>9.9715099715100841E-3</v>
      </c>
      <c r="H12" s="466">
        <f t="shared" si="1"/>
        <v>9.9715099715100841E-3</v>
      </c>
      <c r="I12" s="466">
        <f t="shared" si="1"/>
        <v>9.9715099715100841E-3</v>
      </c>
      <c r="J12" s="467">
        <f t="shared" si="1"/>
        <v>9.9715099715100841E-3</v>
      </c>
    </row>
    <row r="13" spans="2:11" x14ac:dyDescent="0.25">
      <c r="B13" s="641">
        <v>1956</v>
      </c>
      <c r="C13" s="642">
        <v>7.3800000000000004E-2</v>
      </c>
      <c r="D13" s="643">
        <f t="shared" si="0"/>
        <v>7.3800000000000004E-2</v>
      </c>
      <c r="E13" s="643">
        <f t="shared" si="0"/>
        <v>7.3800000000000004E-2</v>
      </c>
      <c r="F13" s="644">
        <f t="shared" si="0"/>
        <v>7.3800000000000004E-2</v>
      </c>
      <c r="G13" s="465">
        <f t="shared" si="1"/>
        <v>4.0902679830747468E-2</v>
      </c>
      <c r="H13" s="466">
        <f t="shared" si="1"/>
        <v>4.0902679830747468E-2</v>
      </c>
      <c r="I13" s="466">
        <f t="shared" si="1"/>
        <v>4.0902679830747468E-2</v>
      </c>
      <c r="J13" s="467">
        <f t="shared" si="1"/>
        <v>4.0902679830747468E-2</v>
      </c>
    </row>
    <row r="14" spans="2:11" x14ac:dyDescent="0.25">
      <c r="B14" s="641">
        <v>1957</v>
      </c>
      <c r="C14" s="642">
        <v>7.6100000000000001E-2</v>
      </c>
      <c r="D14" s="643">
        <f t="shared" si="0"/>
        <v>7.6100000000000001E-2</v>
      </c>
      <c r="E14" s="643">
        <f t="shared" si="0"/>
        <v>7.6100000000000001E-2</v>
      </c>
      <c r="F14" s="644">
        <f t="shared" si="0"/>
        <v>7.6100000000000001E-2</v>
      </c>
      <c r="G14" s="465">
        <f t="shared" si="1"/>
        <v>3.1165311653116534E-2</v>
      </c>
      <c r="H14" s="466">
        <f t="shared" si="1"/>
        <v>3.1165311653116534E-2</v>
      </c>
      <c r="I14" s="466">
        <f t="shared" si="1"/>
        <v>3.1165311653116534E-2</v>
      </c>
      <c r="J14" s="467">
        <f t="shared" si="1"/>
        <v>3.1165311653116534E-2</v>
      </c>
    </row>
    <row r="15" spans="2:11" x14ac:dyDescent="0.25">
      <c r="B15" s="641">
        <v>1958</v>
      </c>
      <c r="C15" s="642">
        <v>8.7499999999999994E-2</v>
      </c>
      <c r="D15" s="643">
        <f t="shared" si="0"/>
        <v>8.7499999999999994E-2</v>
      </c>
      <c r="E15" s="643">
        <f t="shared" si="0"/>
        <v>8.7499999999999994E-2</v>
      </c>
      <c r="F15" s="644">
        <f t="shared" si="0"/>
        <v>8.7499999999999994E-2</v>
      </c>
      <c r="G15" s="465">
        <f t="shared" si="1"/>
        <v>0.14980289093298294</v>
      </c>
      <c r="H15" s="466">
        <f t="shared" si="1"/>
        <v>0.14980289093298294</v>
      </c>
      <c r="I15" s="466">
        <f t="shared" si="1"/>
        <v>0.14980289093298294</v>
      </c>
      <c r="J15" s="467">
        <f t="shared" si="1"/>
        <v>0.14980289093298294</v>
      </c>
    </row>
    <row r="16" spans="2:11" x14ac:dyDescent="0.25">
      <c r="B16" s="641">
        <v>1959</v>
      </c>
      <c r="C16" s="642">
        <v>9.2899999999999996E-2</v>
      </c>
      <c r="D16" s="643">
        <f t="shared" si="0"/>
        <v>9.2899999999999996E-2</v>
      </c>
      <c r="E16" s="643">
        <f t="shared" si="0"/>
        <v>9.2899999999999996E-2</v>
      </c>
      <c r="F16" s="644">
        <f t="shared" si="0"/>
        <v>9.2899999999999996E-2</v>
      </c>
      <c r="G16" s="465">
        <f t="shared" si="1"/>
        <v>6.1714285714285833E-2</v>
      </c>
      <c r="H16" s="466">
        <f t="shared" si="1"/>
        <v>6.1714285714285833E-2</v>
      </c>
      <c r="I16" s="466">
        <f t="shared" si="1"/>
        <v>6.1714285714285833E-2</v>
      </c>
      <c r="J16" s="467">
        <f t="shared" si="1"/>
        <v>6.1714285714285833E-2</v>
      </c>
    </row>
    <row r="17" spans="2:10" x14ac:dyDescent="0.25">
      <c r="B17" s="641">
        <v>1960</v>
      </c>
      <c r="C17" s="642">
        <v>9.6300000000000011E-2</v>
      </c>
      <c r="D17" s="643">
        <f t="shared" si="0"/>
        <v>9.6300000000000011E-2</v>
      </c>
      <c r="E17" s="643">
        <f t="shared" si="0"/>
        <v>9.6300000000000011E-2</v>
      </c>
      <c r="F17" s="644">
        <f t="shared" si="0"/>
        <v>9.6300000000000011E-2</v>
      </c>
      <c r="G17" s="465">
        <f t="shared" si="1"/>
        <v>3.6598493003229482E-2</v>
      </c>
      <c r="H17" s="466">
        <f t="shared" si="1"/>
        <v>3.6598493003229482E-2</v>
      </c>
      <c r="I17" s="466">
        <f t="shared" si="1"/>
        <v>3.6598493003229482E-2</v>
      </c>
      <c r="J17" s="467">
        <f t="shared" si="1"/>
        <v>3.6598493003229482E-2</v>
      </c>
    </row>
    <row r="18" spans="2:10" x14ac:dyDescent="0.25">
      <c r="B18" s="641">
        <v>1961</v>
      </c>
      <c r="C18" s="642">
        <v>9.9499999999999991E-2</v>
      </c>
      <c r="D18" s="643">
        <f t="shared" si="0"/>
        <v>9.9499999999999991E-2</v>
      </c>
      <c r="E18" s="643">
        <f t="shared" si="0"/>
        <v>9.9499999999999991E-2</v>
      </c>
      <c r="F18" s="644">
        <f t="shared" si="0"/>
        <v>9.9499999999999991E-2</v>
      </c>
      <c r="G18" s="465">
        <f t="shared" si="1"/>
        <v>3.3229491173416115E-2</v>
      </c>
      <c r="H18" s="466">
        <f t="shared" si="1"/>
        <v>3.3229491173416115E-2</v>
      </c>
      <c r="I18" s="466">
        <f t="shared" si="1"/>
        <v>3.3229491173416115E-2</v>
      </c>
      <c r="J18" s="467">
        <f t="shared" si="1"/>
        <v>3.3229491173416115E-2</v>
      </c>
    </row>
    <row r="19" spans="2:10" x14ac:dyDescent="0.25">
      <c r="B19" s="641">
        <v>1962</v>
      </c>
      <c r="C19" s="642">
        <v>0.1042</v>
      </c>
      <c r="D19" s="643">
        <f t="shared" si="0"/>
        <v>0.1042</v>
      </c>
      <c r="E19" s="643">
        <f t="shared" si="0"/>
        <v>0.1042</v>
      </c>
      <c r="F19" s="644">
        <f t="shared" si="0"/>
        <v>0.1042</v>
      </c>
      <c r="G19" s="465">
        <f t="shared" si="1"/>
        <v>4.7236180904522751E-2</v>
      </c>
      <c r="H19" s="466">
        <f t="shared" si="1"/>
        <v>4.7236180904522751E-2</v>
      </c>
      <c r="I19" s="466">
        <f t="shared" si="1"/>
        <v>4.7236180904522751E-2</v>
      </c>
      <c r="J19" s="467">
        <f t="shared" si="1"/>
        <v>4.7236180904522751E-2</v>
      </c>
    </row>
    <row r="20" spans="2:10" x14ac:dyDescent="0.25">
      <c r="B20" s="641">
        <v>1963</v>
      </c>
      <c r="C20" s="642">
        <v>0.10920000000000001</v>
      </c>
      <c r="D20" s="643">
        <f t="shared" si="0"/>
        <v>0.10920000000000001</v>
      </c>
      <c r="E20" s="643">
        <f t="shared" si="0"/>
        <v>0.10920000000000001</v>
      </c>
      <c r="F20" s="644">
        <f t="shared" si="0"/>
        <v>0.10920000000000001</v>
      </c>
      <c r="G20" s="465">
        <f t="shared" si="1"/>
        <v>4.7984644913627639E-2</v>
      </c>
      <c r="H20" s="466">
        <f t="shared" si="1"/>
        <v>4.7984644913627639E-2</v>
      </c>
      <c r="I20" s="466">
        <f t="shared" si="1"/>
        <v>4.7984644913627639E-2</v>
      </c>
      <c r="J20" s="467">
        <f t="shared" si="1"/>
        <v>4.7984644913627639E-2</v>
      </c>
    </row>
    <row r="21" spans="2:10" x14ac:dyDescent="0.25">
      <c r="B21" s="641">
        <v>1964</v>
      </c>
      <c r="C21" s="642">
        <v>0.113</v>
      </c>
      <c r="D21" s="643">
        <f t="shared" si="0"/>
        <v>0.113</v>
      </c>
      <c r="E21" s="643">
        <f t="shared" si="0"/>
        <v>0.113</v>
      </c>
      <c r="F21" s="644">
        <f t="shared" si="0"/>
        <v>0.113</v>
      </c>
      <c r="G21" s="465">
        <f t="shared" si="1"/>
        <v>3.4798534798534675E-2</v>
      </c>
      <c r="H21" s="466">
        <f t="shared" si="1"/>
        <v>3.4798534798534675E-2</v>
      </c>
      <c r="I21" s="466">
        <f t="shared" si="1"/>
        <v>3.4798534798534675E-2</v>
      </c>
      <c r="J21" s="467">
        <f t="shared" si="1"/>
        <v>3.4798534798534675E-2</v>
      </c>
    </row>
    <row r="22" spans="2:10" x14ac:dyDescent="0.25">
      <c r="B22" s="641">
        <v>1965</v>
      </c>
      <c r="C22" s="642">
        <v>0.1158</v>
      </c>
      <c r="D22" s="643">
        <f t="shared" si="0"/>
        <v>0.1158</v>
      </c>
      <c r="E22" s="643">
        <f t="shared" si="0"/>
        <v>0.1158</v>
      </c>
      <c r="F22" s="644">
        <f t="shared" si="0"/>
        <v>0.1158</v>
      </c>
      <c r="G22" s="465">
        <f t="shared" si="1"/>
        <v>2.4778761061946986E-2</v>
      </c>
      <c r="H22" s="466">
        <f t="shared" si="1"/>
        <v>2.4778761061946986E-2</v>
      </c>
      <c r="I22" s="466">
        <f t="shared" si="1"/>
        <v>2.4778761061946986E-2</v>
      </c>
      <c r="J22" s="467">
        <f t="shared" si="1"/>
        <v>2.4778761061946986E-2</v>
      </c>
    </row>
    <row r="23" spans="2:10" ht="15" customHeight="1" x14ac:dyDescent="0.25">
      <c r="B23" s="641">
        <v>1966</v>
      </c>
      <c r="C23" s="642">
        <v>0.11890000000000001</v>
      </c>
      <c r="D23" s="643">
        <f t="shared" ref="D23:F38" si="2">C23</f>
        <v>0.11890000000000001</v>
      </c>
      <c r="E23" s="643">
        <f t="shared" si="2"/>
        <v>0.11890000000000001</v>
      </c>
      <c r="F23" s="644">
        <f t="shared" si="2"/>
        <v>0.11890000000000001</v>
      </c>
      <c r="G23" s="465">
        <f t="shared" si="1"/>
        <v>2.6770293609671869E-2</v>
      </c>
      <c r="H23" s="466">
        <f t="shared" si="1"/>
        <v>2.6770293609671869E-2</v>
      </c>
      <c r="I23" s="466">
        <f t="shared" si="1"/>
        <v>2.6770293609671869E-2</v>
      </c>
      <c r="J23" s="467">
        <f t="shared" si="1"/>
        <v>2.6770293609671869E-2</v>
      </c>
    </row>
    <row r="24" spans="2:10" x14ac:dyDescent="0.25">
      <c r="B24" s="641">
        <v>1967</v>
      </c>
      <c r="C24" s="642">
        <v>0.1222</v>
      </c>
      <c r="D24" s="643">
        <f t="shared" si="2"/>
        <v>0.1222</v>
      </c>
      <c r="E24" s="643">
        <f t="shared" si="2"/>
        <v>0.1222</v>
      </c>
      <c r="F24" s="644">
        <f t="shared" si="2"/>
        <v>0.1222</v>
      </c>
      <c r="G24" s="465">
        <f t="shared" si="1"/>
        <v>2.7754415475189198E-2</v>
      </c>
      <c r="H24" s="466">
        <f t="shared" si="1"/>
        <v>2.7754415475189198E-2</v>
      </c>
      <c r="I24" s="466">
        <f t="shared" si="1"/>
        <v>2.7754415475189198E-2</v>
      </c>
      <c r="J24" s="467">
        <f t="shared" si="1"/>
        <v>2.7754415475189198E-2</v>
      </c>
    </row>
    <row r="25" spans="2:10" x14ac:dyDescent="0.25">
      <c r="B25" s="641">
        <v>1968</v>
      </c>
      <c r="C25" s="642">
        <v>0.12770000000000001</v>
      </c>
      <c r="D25" s="643">
        <f t="shared" si="2"/>
        <v>0.12770000000000001</v>
      </c>
      <c r="E25" s="643">
        <f t="shared" si="2"/>
        <v>0.12770000000000001</v>
      </c>
      <c r="F25" s="644">
        <f t="shared" si="2"/>
        <v>0.12770000000000001</v>
      </c>
      <c r="G25" s="465">
        <f t="shared" si="1"/>
        <v>4.5008183306055605E-2</v>
      </c>
      <c r="H25" s="466">
        <f t="shared" si="1"/>
        <v>4.5008183306055605E-2</v>
      </c>
      <c r="I25" s="466">
        <f t="shared" si="1"/>
        <v>4.5008183306055605E-2</v>
      </c>
      <c r="J25" s="467">
        <f t="shared" si="1"/>
        <v>4.5008183306055605E-2</v>
      </c>
    </row>
    <row r="26" spans="2:10" x14ac:dyDescent="0.25">
      <c r="B26" s="641">
        <v>1969</v>
      </c>
      <c r="C26" s="642">
        <v>0.13589999999999999</v>
      </c>
      <c r="D26" s="643">
        <f t="shared" si="2"/>
        <v>0.13589999999999999</v>
      </c>
      <c r="E26" s="643">
        <f t="shared" si="2"/>
        <v>0.13589999999999999</v>
      </c>
      <c r="F26" s="644">
        <f t="shared" si="2"/>
        <v>0.13589999999999999</v>
      </c>
      <c r="G26" s="465">
        <f t="shared" si="1"/>
        <v>6.4212999216914479E-2</v>
      </c>
      <c r="H26" s="466">
        <f t="shared" si="1"/>
        <v>6.4212999216914479E-2</v>
      </c>
      <c r="I26" s="466">
        <f t="shared" si="1"/>
        <v>6.4212999216914479E-2</v>
      </c>
      <c r="J26" s="467">
        <f t="shared" si="1"/>
        <v>6.4212999216914479E-2</v>
      </c>
    </row>
    <row r="27" spans="2:10" x14ac:dyDescent="0.25">
      <c r="B27" s="641">
        <v>1970</v>
      </c>
      <c r="C27" s="642">
        <v>0.14300000000000002</v>
      </c>
      <c r="D27" s="643">
        <f t="shared" si="2"/>
        <v>0.14300000000000002</v>
      </c>
      <c r="E27" s="643">
        <f t="shared" si="2"/>
        <v>0.14300000000000002</v>
      </c>
      <c r="F27" s="644">
        <f t="shared" si="2"/>
        <v>0.14300000000000002</v>
      </c>
      <c r="G27" s="465">
        <f t="shared" si="1"/>
        <v>5.2244297277409979E-2</v>
      </c>
      <c r="H27" s="466">
        <f t="shared" si="1"/>
        <v>5.2244297277409979E-2</v>
      </c>
      <c r="I27" s="466">
        <f t="shared" si="1"/>
        <v>5.2244297277409979E-2</v>
      </c>
      <c r="J27" s="467">
        <f t="shared" si="1"/>
        <v>5.2244297277409979E-2</v>
      </c>
    </row>
    <row r="28" spans="2:10" x14ac:dyDescent="0.25">
      <c r="B28" s="641">
        <v>1971</v>
      </c>
      <c r="C28" s="642">
        <v>0.15109999999999998</v>
      </c>
      <c r="D28" s="643">
        <f t="shared" si="2"/>
        <v>0.15109999999999998</v>
      </c>
      <c r="E28" s="643">
        <f t="shared" si="2"/>
        <v>0.15109999999999998</v>
      </c>
      <c r="F28" s="644">
        <f t="shared" si="2"/>
        <v>0.15109999999999998</v>
      </c>
      <c r="G28" s="465">
        <f t="shared" si="1"/>
        <v>5.6643356643356402E-2</v>
      </c>
      <c r="H28" s="466">
        <f t="shared" si="1"/>
        <v>5.6643356643356402E-2</v>
      </c>
      <c r="I28" s="466">
        <f t="shared" si="1"/>
        <v>5.6643356643356402E-2</v>
      </c>
      <c r="J28" s="467">
        <f t="shared" si="1"/>
        <v>5.6643356643356402E-2</v>
      </c>
    </row>
    <row r="29" spans="2:10" x14ac:dyDescent="0.25">
      <c r="B29" s="641">
        <v>1972</v>
      </c>
      <c r="C29" s="642">
        <v>0.16039999999999999</v>
      </c>
      <c r="D29" s="643">
        <f t="shared" si="2"/>
        <v>0.16039999999999999</v>
      </c>
      <c r="E29" s="643">
        <f t="shared" si="2"/>
        <v>0.16039999999999999</v>
      </c>
      <c r="F29" s="644">
        <f t="shared" si="2"/>
        <v>0.16039999999999999</v>
      </c>
      <c r="G29" s="465">
        <f t="shared" si="1"/>
        <v>6.154864328259424E-2</v>
      </c>
      <c r="H29" s="466">
        <f t="shared" si="1"/>
        <v>6.154864328259424E-2</v>
      </c>
      <c r="I29" s="466">
        <f t="shared" si="1"/>
        <v>6.154864328259424E-2</v>
      </c>
      <c r="J29" s="467">
        <f t="shared" si="1"/>
        <v>6.154864328259424E-2</v>
      </c>
    </row>
    <row r="30" spans="2:10" x14ac:dyDescent="0.25">
      <c r="B30" s="641">
        <v>1973</v>
      </c>
      <c r="C30" s="642">
        <v>0.17519999999999999</v>
      </c>
      <c r="D30" s="643">
        <f t="shared" si="2"/>
        <v>0.17519999999999999</v>
      </c>
      <c r="E30" s="643">
        <f t="shared" si="2"/>
        <v>0.17519999999999999</v>
      </c>
      <c r="F30" s="644">
        <f t="shared" si="2"/>
        <v>0.17519999999999999</v>
      </c>
      <c r="G30" s="465">
        <f t="shared" si="1"/>
        <v>9.2269326683291908E-2</v>
      </c>
      <c r="H30" s="466">
        <f t="shared" si="1"/>
        <v>9.2269326683291908E-2</v>
      </c>
      <c r="I30" s="466">
        <f t="shared" si="1"/>
        <v>9.2269326683291908E-2</v>
      </c>
      <c r="J30" s="467">
        <f t="shared" si="1"/>
        <v>9.2269326683291908E-2</v>
      </c>
    </row>
    <row r="31" spans="2:10" x14ac:dyDescent="0.25">
      <c r="B31" s="641">
        <v>1974</v>
      </c>
      <c r="C31" s="642">
        <v>0.1993</v>
      </c>
      <c r="D31" s="643">
        <f t="shared" si="2"/>
        <v>0.1993</v>
      </c>
      <c r="E31" s="643">
        <f t="shared" si="2"/>
        <v>0.1993</v>
      </c>
      <c r="F31" s="644">
        <f t="shared" si="2"/>
        <v>0.1993</v>
      </c>
      <c r="G31" s="465">
        <f t="shared" si="1"/>
        <v>0.13755707762557079</v>
      </c>
      <c r="H31" s="466">
        <f t="shared" si="1"/>
        <v>0.13755707762557079</v>
      </c>
      <c r="I31" s="466">
        <f t="shared" si="1"/>
        <v>0.13755707762557079</v>
      </c>
      <c r="J31" s="467">
        <f t="shared" si="1"/>
        <v>0.13755707762557079</v>
      </c>
    </row>
    <row r="32" spans="2:10" x14ac:dyDescent="0.25">
      <c r="B32" s="641">
        <v>1975</v>
      </c>
      <c r="C32" s="642">
        <v>0.22270000000000001</v>
      </c>
      <c r="D32" s="643">
        <f t="shared" si="2"/>
        <v>0.22270000000000001</v>
      </c>
      <c r="E32" s="643">
        <f t="shared" si="2"/>
        <v>0.22270000000000001</v>
      </c>
      <c r="F32" s="644">
        <f t="shared" si="2"/>
        <v>0.22270000000000001</v>
      </c>
      <c r="G32" s="465">
        <f t="shared" si="1"/>
        <v>0.11741093828399407</v>
      </c>
      <c r="H32" s="466">
        <f t="shared" si="1"/>
        <v>0.11741093828399407</v>
      </c>
      <c r="I32" s="466">
        <f t="shared" si="1"/>
        <v>0.11741093828399407</v>
      </c>
      <c r="J32" s="467">
        <f t="shared" si="1"/>
        <v>0.11741093828399407</v>
      </c>
    </row>
    <row r="33" spans="2:14" x14ac:dyDescent="0.25">
      <c r="B33" s="641">
        <v>1976</v>
      </c>
      <c r="C33" s="642">
        <v>0.24420000000000003</v>
      </c>
      <c r="D33" s="643">
        <f t="shared" si="2"/>
        <v>0.24420000000000003</v>
      </c>
      <c r="E33" s="643">
        <f t="shared" si="2"/>
        <v>0.24420000000000003</v>
      </c>
      <c r="F33" s="644">
        <f t="shared" si="2"/>
        <v>0.24420000000000003</v>
      </c>
      <c r="G33" s="465">
        <f t="shared" si="1"/>
        <v>9.6542433767400126E-2</v>
      </c>
      <c r="H33" s="466">
        <f t="shared" si="1"/>
        <v>9.6542433767400126E-2</v>
      </c>
      <c r="I33" s="466">
        <f t="shared" si="1"/>
        <v>9.6542433767400126E-2</v>
      </c>
      <c r="J33" s="467">
        <f t="shared" si="1"/>
        <v>9.6542433767400126E-2</v>
      </c>
    </row>
    <row r="34" spans="2:14" x14ac:dyDescent="0.25">
      <c r="B34" s="641">
        <v>1977</v>
      </c>
      <c r="C34" s="642">
        <v>0.26700000000000002</v>
      </c>
      <c r="D34" s="643">
        <f t="shared" si="2"/>
        <v>0.26700000000000002</v>
      </c>
      <c r="E34" s="643">
        <f t="shared" si="2"/>
        <v>0.26700000000000002</v>
      </c>
      <c r="F34" s="644">
        <f t="shared" si="2"/>
        <v>0.26700000000000002</v>
      </c>
      <c r="G34" s="465">
        <f t="shared" si="1"/>
        <v>9.3366093366093361E-2</v>
      </c>
      <c r="H34" s="466">
        <f t="shared" si="1"/>
        <v>9.3366093366093361E-2</v>
      </c>
      <c r="I34" s="466">
        <f t="shared" si="1"/>
        <v>9.3366093366093361E-2</v>
      </c>
      <c r="J34" s="467">
        <f t="shared" si="1"/>
        <v>9.3366093366093361E-2</v>
      </c>
    </row>
    <row r="35" spans="2:14" x14ac:dyDescent="0.25">
      <c r="B35" s="641">
        <v>1978</v>
      </c>
      <c r="C35" s="642">
        <v>0.29120000000000001</v>
      </c>
      <c r="D35" s="643">
        <f t="shared" si="2"/>
        <v>0.29120000000000001</v>
      </c>
      <c r="E35" s="643">
        <f t="shared" si="2"/>
        <v>0.29120000000000001</v>
      </c>
      <c r="F35" s="644">
        <f t="shared" si="2"/>
        <v>0.29120000000000001</v>
      </c>
      <c r="G35" s="465">
        <f t="shared" si="1"/>
        <v>9.0636704119850142E-2</v>
      </c>
      <c r="H35" s="466">
        <f t="shared" si="1"/>
        <v>9.0636704119850142E-2</v>
      </c>
      <c r="I35" s="466">
        <f t="shared" si="1"/>
        <v>9.0636704119850142E-2</v>
      </c>
      <c r="J35" s="467">
        <f t="shared" si="1"/>
        <v>9.0636704119850142E-2</v>
      </c>
    </row>
    <row r="36" spans="2:14" x14ac:dyDescent="0.25">
      <c r="B36" s="641">
        <v>1979</v>
      </c>
      <c r="C36" s="642">
        <v>0.3226</v>
      </c>
      <c r="D36" s="643">
        <f t="shared" si="2"/>
        <v>0.3226</v>
      </c>
      <c r="E36" s="643">
        <f t="shared" si="2"/>
        <v>0.3226</v>
      </c>
      <c r="F36" s="644">
        <f t="shared" si="2"/>
        <v>0.3226</v>
      </c>
      <c r="G36" s="465">
        <f t="shared" si="1"/>
        <v>0.10782967032967017</v>
      </c>
      <c r="H36" s="466">
        <f t="shared" si="1"/>
        <v>0.10782967032967017</v>
      </c>
      <c r="I36" s="466">
        <f t="shared" si="1"/>
        <v>0.10782967032967017</v>
      </c>
      <c r="J36" s="467">
        <f t="shared" si="1"/>
        <v>0.10782967032967017</v>
      </c>
    </row>
    <row r="37" spans="2:14" x14ac:dyDescent="0.25">
      <c r="B37" s="641">
        <v>1980</v>
      </c>
      <c r="C37" s="642">
        <v>0.36630000000000001</v>
      </c>
      <c r="D37" s="643">
        <f t="shared" si="2"/>
        <v>0.36630000000000001</v>
      </c>
      <c r="E37" s="643">
        <f t="shared" si="2"/>
        <v>0.36630000000000001</v>
      </c>
      <c r="F37" s="644">
        <f t="shared" si="2"/>
        <v>0.36630000000000001</v>
      </c>
      <c r="G37" s="465">
        <f t="shared" si="1"/>
        <v>0.13546187228766282</v>
      </c>
      <c r="H37" s="466">
        <f t="shared" si="1"/>
        <v>0.13546187228766282</v>
      </c>
      <c r="I37" s="466">
        <f t="shared" si="1"/>
        <v>0.13546187228766282</v>
      </c>
      <c r="J37" s="467">
        <f t="shared" si="1"/>
        <v>0.13546187228766282</v>
      </c>
    </row>
    <row r="38" spans="2:14" x14ac:dyDescent="0.25">
      <c r="B38" s="641">
        <v>1981</v>
      </c>
      <c r="C38" s="642">
        <v>0.41539999999999999</v>
      </c>
      <c r="D38" s="643">
        <f t="shared" si="2"/>
        <v>0.41539999999999999</v>
      </c>
      <c r="E38" s="643">
        <f t="shared" si="2"/>
        <v>0.41539999999999999</v>
      </c>
      <c r="F38" s="644">
        <f t="shared" si="2"/>
        <v>0.41539999999999999</v>
      </c>
      <c r="G38" s="465">
        <f t="shared" si="1"/>
        <v>0.13404313404313406</v>
      </c>
      <c r="H38" s="466">
        <f t="shared" si="1"/>
        <v>0.13404313404313406</v>
      </c>
      <c r="I38" s="466">
        <f t="shared" si="1"/>
        <v>0.13404313404313406</v>
      </c>
      <c r="J38" s="467">
        <f t="shared" si="1"/>
        <v>0.13404313404313406</v>
      </c>
    </row>
    <row r="39" spans="2:14" x14ac:dyDescent="0.25">
      <c r="B39" s="641">
        <v>1982</v>
      </c>
      <c r="C39" s="642">
        <v>0.46450000000000002</v>
      </c>
      <c r="D39" s="643">
        <f t="shared" ref="D39:F54" si="3">C39</f>
        <v>0.46450000000000002</v>
      </c>
      <c r="E39" s="643">
        <f t="shared" si="3"/>
        <v>0.46450000000000002</v>
      </c>
      <c r="F39" s="644">
        <f t="shared" si="3"/>
        <v>0.46450000000000002</v>
      </c>
      <c r="G39" s="465">
        <f t="shared" si="1"/>
        <v>0.11819932595089089</v>
      </c>
      <c r="H39" s="466">
        <f t="shared" si="1"/>
        <v>0.11819932595089089</v>
      </c>
      <c r="I39" s="466">
        <f t="shared" si="1"/>
        <v>0.11819932595089089</v>
      </c>
      <c r="J39" s="467">
        <f t="shared" si="1"/>
        <v>0.11819932595089089</v>
      </c>
    </row>
    <row r="40" spans="2:14" x14ac:dyDescent="0.25">
      <c r="B40" s="641">
        <v>1983</v>
      </c>
      <c r="C40" s="642">
        <v>0.50919999999999999</v>
      </c>
      <c r="D40" s="643">
        <f t="shared" si="3"/>
        <v>0.50919999999999999</v>
      </c>
      <c r="E40" s="643">
        <f t="shared" si="3"/>
        <v>0.50919999999999999</v>
      </c>
      <c r="F40" s="644">
        <f t="shared" si="3"/>
        <v>0.50919999999999999</v>
      </c>
      <c r="G40" s="465">
        <f t="shared" si="1"/>
        <v>9.6232508073196943E-2</v>
      </c>
      <c r="H40" s="466">
        <f t="shared" si="1"/>
        <v>9.6232508073196943E-2</v>
      </c>
      <c r="I40" s="466">
        <f t="shared" si="1"/>
        <v>9.6232508073196943E-2</v>
      </c>
      <c r="J40" s="467">
        <f t="shared" si="1"/>
        <v>9.6232508073196943E-2</v>
      </c>
    </row>
    <row r="41" spans="2:14" x14ac:dyDescent="0.25">
      <c r="B41" s="641">
        <v>1984</v>
      </c>
      <c r="C41" s="642">
        <v>0.54689999999999994</v>
      </c>
      <c r="D41" s="643">
        <f t="shared" si="3"/>
        <v>0.54689999999999994</v>
      </c>
      <c r="E41" s="643">
        <f t="shared" si="3"/>
        <v>0.54689999999999994</v>
      </c>
      <c r="F41" s="644">
        <f t="shared" si="3"/>
        <v>0.54689999999999994</v>
      </c>
      <c r="G41" s="465">
        <f t="shared" si="1"/>
        <v>7.4037706205812848E-2</v>
      </c>
      <c r="H41" s="466">
        <f t="shared" si="1"/>
        <v>7.4037706205812848E-2</v>
      </c>
      <c r="I41" s="466">
        <f t="shared" si="1"/>
        <v>7.4037706205812848E-2</v>
      </c>
      <c r="J41" s="467">
        <f t="shared" si="1"/>
        <v>7.4037706205812848E-2</v>
      </c>
    </row>
    <row r="42" spans="2:14" x14ac:dyDescent="0.25">
      <c r="B42" s="641">
        <v>1985</v>
      </c>
      <c r="C42" s="642">
        <v>0.57869999999999999</v>
      </c>
      <c r="D42" s="643">
        <f t="shared" si="3"/>
        <v>0.57869999999999999</v>
      </c>
      <c r="E42" s="643">
        <f t="shared" si="3"/>
        <v>0.57869999999999999</v>
      </c>
      <c r="F42" s="644">
        <f t="shared" si="3"/>
        <v>0.57869999999999999</v>
      </c>
      <c r="G42" s="465">
        <f t="shared" si="1"/>
        <v>5.8145913329676446E-2</v>
      </c>
      <c r="H42" s="466">
        <f t="shared" si="1"/>
        <v>5.8145913329676446E-2</v>
      </c>
      <c r="I42" s="466">
        <f t="shared" si="1"/>
        <v>5.8145913329676446E-2</v>
      </c>
      <c r="J42" s="467">
        <f t="shared" si="1"/>
        <v>5.8145913329676446E-2</v>
      </c>
    </row>
    <row r="43" spans="2:14" x14ac:dyDescent="0.25">
      <c r="B43" s="641">
        <v>1986</v>
      </c>
      <c r="C43" s="642">
        <v>0.59409999999999996</v>
      </c>
      <c r="D43" s="643">
        <f t="shared" si="3"/>
        <v>0.59409999999999996</v>
      </c>
      <c r="E43" s="643">
        <f t="shared" si="3"/>
        <v>0.59409999999999996</v>
      </c>
      <c r="F43" s="644">
        <f t="shared" si="3"/>
        <v>0.59409999999999996</v>
      </c>
      <c r="G43" s="465">
        <f t="shared" si="1"/>
        <v>2.6611370312769944E-2</v>
      </c>
      <c r="H43" s="466">
        <f t="shared" si="1"/>
        <v>2.6611370312769944E-2</v>
      </c>
      <c r="I43" s="466">
        <f t="shared" si="1"/>
        <v>2.6611370312769944E-2</v>
      </c>
      <c r="J43" s="467">
        <f t="shared" si="1"/>
        <v>2.6611370312769944E-2</v>
      </c>
    </row>
    <row r="44" spans="2:14" x14ac:dyDescent="0.25">
      <c r="B44" s="641">
        <v>1987</v>
      </c>
      <c r="C44" s="642">
        <v>0.61280000000000001</v>
      </c>
      <c r="D44" s="643">
        <f t="shared" si="3"/>
        <v>0.61280000000000001</v>
      </c>
      <c r="E44" s="643">
        <f t="shared" si="3"/>
        <v>0.61280000000000001</v>
      </c>
      <c r="F44" s="644">
        <f t="shared" si="3"/>
        <v>0.61280000000000001</v>
      </c>
      <c r="G44" s="465">
        <f t="shared" si="1"/>
        <v>3.1476182460865365E-2</v>
      </c>
      <c r="H44" s="466">
        <f t="shared" si="1"/>
        <v>3.1476182460865365E-2</v>
      </c>
      <c r="I44" s="466">
        <f t="shared" si="1"/>
        <v>3.1476182460865365E-2</v>
      </c>
      <c r="J44" s="467">
        <f t="shared" si="1"/>
        <v>3.1476182460865365E-2</v>
      </c>
    </row>
    <row r="45" spans="2:14" x14ac:dyDescent="0.25">
      <c r="B45" s="641">
        <v>1988</v>
      </c>
      <c r="C45" s="642">
        <v>0.62929999999999997</v>
      </c>
      <c r="D45" s="643">
        <f t="shared" si="3"/>
        <v>0.62929999999999997</v>
      </c>
      <c r="E45" s="643">
        <f t="shared" si="3"/>
        <v>0.62929999999999997</v>
      </c>
      <c r="F45" s="644">
        <f t="shared" si="3"/>
        <v>0.62929999999999997</v>
      </c>
      <c r="G45" s="465">
        <f t="shared" si="1"/>
        <v>2.6925587467362844E-2</v>
      </c>
      <c r="H45" s="466">
        <f t="shared" si="1"/>
        <v>2.6925587467362844E-2</v>
      </c>
      <c r="I45" s="466">
        <f t="shared" si="1"/>
        <v>2.6925587467362844E-2</v>
      </c>
      <c r="J45" s="467">
        <f t="shared" si="1"/>
        <v>2.6925587467362844E-2</v>
      </c>
    </row>
    <row r="46" spans="2:14" x14ac:dyDescent="0.25">
      <c r="B46" s="641">
        <v>1989</v>
      </c>
      <c r="C46" s="642">
        <v>0.65200000000000002</v>
      </c>
      <c r="D46" s="643">
        <f t="shared" si="3"/>
        <v>0.65200000000000002</v>
      </c>
      <c r="E46" s="643">
        <f t="shared" si="3"/>
        <v>0.65200000000000002</v>
      </c>
      <c r="F46" s="644">
        <f t="shared" si="3"/>
        <v>0.65200000000000002</v>
      </c>
      <c r="G46" s="465">
        <f t="shared" si="1"/>
        <v>3.6071825838233096E-2</v>
      </c>
      <c r="H46" s="466">
        <f t="shared" si="1"/>
        <v>3.6071825838233096E-2</v>
      </c>
      <c r="I46" s="466">
        <f t="shared" si="1"/>
        <v>3.6071825838233096E-2</v>
      </c>
      <c r="J46" s="467">
        <f t="shared" si="1"/>
        <v>3.6071825838233096E-2</v>
      </c>
    </row>
    <row r="47" spans="2:14" x14ac:dyDescent="0.25">
      <c r="B47" s="641">
        <v>1990</v>
      </c>
      <c r="C47" s="642">
        <v>0.67400000000000004</v>
      </c>
      <c r="D47" s="643">
        <f t="shared" si="3"/>
        <v>0.67400000000000004</v>
      </c>
      <c r="E47" s="643">
        <f t="shared" si="3"/>
        <v>0.67400000000000004</v>
      </c>
      <c r="F47" s="644">
        <f t="shared" si="3"/>
        <v>0.67400000000000004</v>
      </c>
      <c r="G47" s="465">
        <f t="shared" si="1"/>
        <v>3.3742331288343586E-2</v>
      </c>
      <c r="H47" s="466">
        <f t="shared" si="1"/>
        <v>3.3742331288343586E-2</v>
      </c>
      <c r="I47" s="466">
        <f t="shared" si="1"/>
        <v>3.3742331288343586E-2</v>
      </c>
      <c r="J47" s="467">
        <f t="shared" si="1"/>
        <v>3.3742331288343586E-2</v>
      </c>
    </row>
    <row r="48" spans="2:14" x14ac:dyDescent="0.25">
      <c r="B48" s="641">
        <v>1991</v>
      </c>
      <c r="C48" s="642">
        <v>0.69599999999999995</v>
      </c>
      <c r="D48" s="643">
        <f t="shared" si="3"/>
        <v>0.69599999999999995</v>
      </c>
      <c r="E48" s="643">
        <f t="shared" si="3"/>
        <v>0.69599999999999995</v>
      </c>
      <c r="F48" s="644">
        <f t="shared" si="3"/>
        <v>0.69599999999999995</v>
      </c>
      <c r="G48" s="465">
        <f t="shared" si="1"/>
        <v>3.2640949554896048E-2</v>
      </c>
      <c r="H48" s="466">
        <f t="shared" si="1"/>
        <v>3.2640949554896048E-2</v>
      </c>
      <c r="I48" s="466">
        <f t="shared" si="1"/>
        <v>3.2640949554896048E-2</v>
      </c>
      <c r="J48" s="467">
        <f t="shared" si="1"/>
        <v>3.2640949554896048E-2</v>
      </c>
      <c r="L48" s="381"/>
      <c r="N48" s="381"/>
    </row>
    <row r="49" spans="2:14" x14ac:dyDescent="0.25">
      <c r="B49" s="641">
        <v>1992</v>
      </c>
      <c r="C49" s="642">
        <v>0.71200000000000008</v>
      </c>
      <c r="D49" s="643">
        <f t="shared" si="3"/>
        <v>0.71200000000000008</v>
      </c>
      <c r="E49" s="643">
        <f t="shared" si="3"/>
        <v>0.71200000000000008</v>
      </c>
      <c r="F49" s="644">
        <f t="shared" si="3"/>
        <v>0.71200000000000008</v>
      </c>
      <c r="G49" s="465">
        <f t="shared" si="1"/>
        <v>2.2988505747126631E-2</v>
      </c>
      <c r="H49" s="466">
        <f t="shared" si="1"/>
        <v>2.2988505747126631E-2</v>
      </c>
      <c r="I49" s="466">
        <f t="shared" si="1"/>
        <v>2.2988505747126631E-2</v>
      </c>
      <c r="J49" s="467">
        <f t="shared" si="1"/>
        <v>2.2988505747126631E-2</v>
      </c>
      <c r="N49" s="381"/>
    </row>
    <row r="50" spans="2:14" x14ac:dyDescent="0.25">
      <c r="B50" s="641">
        <v>1993</v>
      </c>
      <c r="C50" s="642">
        <v>0.72699999999999998</v>
      </c>
      <c r="D50" s="643">
        <f t="shared" si="3"/>
        <v>0.72699999999999998</v>
      </c>
      <c r="E50" s="643">
        <f t="shared" si="3"/>
        <v>0.72699999999999998</v>
      </c>
      <c r="F50" s="644">
        <f t="shared" si="3"/>
        <v>0.72699999999999998</v>
      </c>
      <c r="G50" s="465">
        <f t="shared" si="1"/>
        <v>2.1067415730336991E-2</v>
      </c>
      <c r="H50" s="466">
        <f t="shared" si="1"/>
        <v>2.1067415730336991E-2</v>
      </c>
      <c r="I50" s="466">
        <f t="shared" si="1"/>
        <v>2.1067415730336991E-2</v>
      </c>
      <c r="J50" s="467">
        <f t="shared" si="1"/>
        <v>2.1067415730336991E-2</v>
      </c>
      <c r="N50" s="381"/>
    </row>
    <row r="51" spans="2:14" x14ac:dyDescent="0.25">
      <c r="B51" s="641">
        <v>1994</v>
      </c>
      <c r="C51" s="642">
        <v>0.7390000000000001</v>
      </c>
      <c r="D51" s="643">
        <f t="shared" si="3"/>
        <v>0.7390000000000001</v>
      </c>
      <c r="E51" s="643">
        <f t="shared" si="3"/>
        <v>0.7390000000000001</v>
      </c>
      <c r="F51" s="644">
        <f t="shared" si="3"/>
        <v>0.7390000000000001</v>
      </c>
      <c r="G51" s="465">
        <f t="shared" si="1"/>
        <v>1.6506189821183126E-2</v>
      </c>
      <c r="H51" s="466">
        <f t="shared" si="1"/>
        <v>1.6506189821183126E-2</v>
      </c>
      <c r="I51" s="466">
        <f t="shared" si="1"/>
        <v>1.6506189821183126E-2</v>
      </c>
      <c r="J51" s="467">
        <f t="shared" si="1"/>
        <v>1.6506189821183126E-2</v>
      </c>
      <c r="N51" s="381"/>
    </row>
    <row r="52" spans="2:14" x14ac:dyDescent="0.25">
      <c r="B52" s="641">
        <v>1995</v>
      </c>
      <c r="C52" s="642">
        <v>0.753</v>
      </c>
      <c r="D52" s="643">
        <f t="shared" si="3"/>
        <v>0.753</v>
      </c>
      <c r="E52" s="643">
        <f t="shared" si="3"/>
        <v>0.753</v>
      </c>
      <c r="F52" s="644">
        <f t="shared" si="3"/>
        <v>0.753</v>
      </c>
      <c r="G52" s="465">
        <f t="shared" si="1"/>
        <v>1.8944519621109546E-2</v>
      </c>
      <c r="H52" s="466">
        <f t="shared" si="1"/>
        <v>1.8944519621109546E-2</v>
      </c>
      <c r="I52" s="466">
        <f t="shared" si="1"/>
        <v>1.8944519621109546E-2</v>
      </c>
      <c r="J52" s="467">
        <f t="shared" si="1"/>
        <v>1.8944519621109546E-2</v>
      </c>
      <c r="N52" s="381"/>
    </row>
    <row r="53" spans="2:14" x14ac:dyDescent="0.25">
      <c r="B53" s="641">
        <v>1996</v>
      </c>
      <c r="C53" s="642">
        <v>0.76800000000000002</v>
      </c>
      <c r="D53" s="643">
        <f t="shared" si="3"/>
        <v>0.76800000000000002</v>
      </c>
      <c r="E53" s="643">
        <f t="shared" si="3"/>
        <v>0.76800000000000002</v>
      </c>
      <c r="F53" s="644">
        <f t="shared" si="3"/>
        <v>0.76800000000000002</v>
      </c>
      <c r="G53" s="465">
        <f t="shared" si="1"/>
        <v>1.9920318725099584E-2</v>
      </c>
      <c r="H53" s="466">
        <f t="shared" si="1"/>
        <v>1.9920318725099584E-2</v>
      </c>
      <c r="I53" s="466">
        <f t="shared" si="1"/>
        <v>1.9920318725099584E-2</v>
      </c>
      <c r="J53" s="467">
        <f t="shared" si="1"/>
        <v>1.9920318725099584E-2</v>
      </c>
      <c r="N53" s="381"/>
    </row>
    <row r="54" spans="2:14" x14ac:dyDescent="0.25">
      <c r="B54" s="641">
        <v>1997</v>
      </c>
      <c r="C54" s="642">
        <v>0.77700000000000002</v>
      </c>
      <c r="D54" s="643">
        <f t="shared" si="3"/>
        <v>0.77700000000000002</v>
      </c>
      <c r="E54" s="643">
        <f t="shared" si="3"/>
        <v>0.77700000000000002</v>
      </c>
      <c r="F54" s="644">
        <f t="shared" si="3"/>
        <v>0.77700000000000002</v>
      </c>
      <c r="G54" s="465">
        <f t="shared" si="1"/>
        <v>1.171875E-2</v>
      </c>
      <c r="H54" s="466">
        <f t="shared" si="1"/>
        <v>1.171875E-2</v>
      </c>
      <c r="I54" s="466">
        <f t="shared" si="1"/>
        <v>1.171875E-2</v>
      </c>
      <c r="J54" s="467">
        <f t="shared" si="1"/>
        <v>1.171875E-2</v>
      </c>
      <c r="N54" s="381"/>
    </row>
    <row r="55" spans="2:14" x14ac:dyDescent="0.25">
      <c r="B55" s="641">
        <v>1998</v>
      </c>
      <c r="C55" s="642">
        <v>0.78200000000000003</v>
      </c>
      <c r="D55" s="643">
        <f t="shared" ref="D55:F70" si="4">C55</f>
        <v>0.78200000000000003</v>
      </c>
      <c r="E55" s="643">
        <f t="shared" si="4"/>
        <v>0.78200000000000003</v>
      </c>
      <c r="F55" s="644">
        <f t="shared" si="4"/>
        <v>0.78200000000000003</v>
      </c>
      <c r="G55" s="465">
        <f t="shared" si="1"/>
        <v>6.4350064350064962E-3</v>
      </c>
      <c r="H55" s="466">
        <f t="shared" si="1"/>
        <v>6.4350064350064962E-3</v>
      </c>
      <c r="I55" s="466">
        <f t="shared" si="1"/>
        <v>6.4350064350064962E-3</v>
      </c>
      <c r="J55" s="467">
        <f t="shared" si="1"/>
        <v>6.4350064350064962E-3</v>
      </c>
      <c r="N55" s="381"/>
    </row>
    <row r="56" spans="2:14" x14ac:dyDescent="0.25">
      <c r="B56" s="641">
        <v>1999</v>
      </c>
      <c r="C56" s="642">
        <v>0.78599999999999992</v>
      </c>
      <c r="D56" s="643">
        <f t="shared" si="4"/>
        <v>0.78599999999999992</v>
      </c>
      <c r="E56" s="643">
        <f t="shared" si="4"/>
        <v>0.78599999999999992</v>
      </c>
      <c r="F56" s="644">
        <f t="shared" si="4"/>
        <v>0.78599999999999992</v>
      </c>
      <c r="G56" s="465">
        <f t="shared" si="1"/>
        <v>5.1150895140663621E-3</v>
      </c>
      <c r="H56" s="466">
        <f t="shared" si="1"/>
        <v>5.1150895140663621E-3</v>
      </c>
      <c r="I56" s="466">
        <f t="shared" si="1"/>
        <v>5.1150895140663621E-3</v>
      </c>
      <c r="J56" s="467">
        <f t="shared" si="1"/>
        <v>5.1150895140663621E-3</v>
      </c>
      <c r="N56" s="381"/>
    </row>
    <row r="57" spans="2:14" x14ac:dyDescent="0.25">
      <c r="B57" s="641">
        <v>2000</v>
      </c>
      <c r="C57" s="642">
        <v>0.79900000000000004</v>
      </c>
      <c r="D57" s="643">
        <f t="shared" si="4"/>
        <v>0.79900000000000004</v>
      </c>
      <c r="E57" s="643">
        <f t="shared" si="4"/>
        <v>0.79900000000000004</v>
      </c>
      <c r="F57" s="644">
        <f t="shared" si="4"/>
        <v>0.79900000000000004</v>
      </c>
      <c r="G57" s="465">
        <f t="shared" si="1"/>
        <v>1.6539440203562572E-2</v>
      </c>
      <c r="H57" s="466">
        <f t="shared" si="1"/>
        <v>1.6539440203562572E-2</v>
      </c>
      <c r="I57" s="466">
        <f t="shared" si="1"/>
        <v>1.6539440203562572E-2</v>
      </c>
      <c r="J57" s="467">
        <f t="shared" si="1"/>
        <v>1.6539440203562572E-2</v>
      </c>
      <c r="N57" s="381"/>
    </row>
    <row r="58" spans="2:14" x14ac:dyDescent="0.25">
      <c r="B58" s="641">
        <v>2001</v>
      </c>
      <c r="C58" s="642">
        <v>0.81200000000000006</v>
      </c>
      <c r="D58" s="643">
        <f t="shared" si="4"/>
        <v>0.81200000000000006</v>
      </c>
      <c r="E58" s="643">
        <f t="shared" si="4"/>
        <v>0.81200000000000006</v>
      </c>
      <c r="F58" s="644">
        <f t="shared" si="4"/>
        <v>0.81200000000000006</v>
      </c>
      <c r="G58" s="465">
        <f t="shared" si="1"/>
        <v>1.6270337922402955E-2</v>
      </c>
      <c r="H58" s="466">
        <f t="shared" si="1"/>
        <v>1.6270337922402955E-2</v>
      </c>
      <c r="I58" s="466">
        <f t="shared" si="1"/>
        <v>1.6270337922402955E-2</v>
      </c>
      <c r="J58" s="467">
        <f t="shared" si="1"/>
        <v>1.6270337922402955E-2</v>
      </c>
      <c r="N58" s="381"/>
    </row>
    <row r="59" spans="2:14" x14ac:dyDescent="0.25">
      <c r="B59" s="641">
        <v>2002</v>
      </c>
      <c r="C59" s="642">
        <v>0.82799999999999996</v>
      </c>
      <c r="D59" s="643">
        <f t="shared" si="4"/>
        <v>0.82799999999999996</v>
      </c>
      <c r="E59" s="643">
        <f t="shared" si="4"/>
        <v>0.82799999999999996</v>
      </c>
      <c r="F59" s="644">
        <f t="shared" si="4"/>
        <v>0.82799999999999996</v>
      </c>
      <c r="G59" s="465">
        <f t="shared" si="1"/>
        <v>1.9704433497536922E-2</v>
      </c>
      <c r="H59" s="466">
        <f t="shared" si="1"/>
        <v>1.9704433497536922E-2</v>
      </c>
      <c r="I59" s="466">
        <f t="shared" si="1"/>
        <v>1.9704433497536922E-2</v>
      </c>
      <c r="J59" s="467">
        <f t="shared" si="1"/>
        <v>1.9704433497536922E-2</v>
      </c>
      <c r="N59" s="381"/>
    </row>
    <row r="60" spans="2:14" x14ac:dyDescent="0.25">
      <c r="B60" s="641">
        <v>2003</v>
      </c>
      <c r="C60" s="642">
        <v>0.84499999999999997</v>
      </c>
      <c r="D60" s="643">
        <f t="shared" si="4"/>
        <v>0.84499999999999997</v>
      </c>
      <c r="E60" s="643">
        <f t="shared" si="4"/>
        <v>0.84499999999999997</v>
      </c>
      <c r="F60" s="644">
        <f t="shared" si="4"/>
        <v>0.84499999999999997</v>
      </c>
      <c r="G60" s="465">
        <f t="shared" si="1"/>
        <v>2.0531400966183666E-2</v>
      </c>
      <c r="H60" s="466">
        <f t="shared" si="1"/>
        <v>2.0531400966183666E-2</v>
      </c>
      <c r="I60" s="466">
        <f t="shared" si="1"/>
        <v>2.0531400966183666E-2</v>
      </c>
      <c r="J60" s="467">
        <f t="shared" si="1"/>
        <v>2.0531400966183666E-2</v>
      </c>
      <c r="N60" s="381"/>
    </row>
    <row r="61" spans="2:14" x14ac:dyDescent="0.25">
      <c r="B61" s="641">
        <v>2004</v>
      </c>
      <c r="C61" s="642">
        <v>0.86299999999999999</v>
      </c>
      <c r="D61" s="643">
        <f t="shared" si="4"/>
        <v>0.86299999999999999</v>
      </c>
      <c r="E61" s="643">
        <f t="shared" si="4"/>
        <v>0.86299999999999999</v>
      </c>
      <c r="F61" s="644">
        <f t="shared" si="4"/>
        <v>0.86299999999999999</v>
      </c>
      <c r="G61" s="465">
        <f t="shared" si="1"/>
        <v>2.130177514792897E-2</v>
      </c>
      <c r="H61" s="466">
        <f t="shared" si="1"/>
        <v>2.130177514792897E-2</v>
      </c>
      <c r="I61" s="466">
        <f t="shared" si="1"/>
        <v>2.130177514792897E-2</v>
      </c>
      <c r="J61" s="467">
        <f t="shared" si="1"/>
        <v>2.130177514792897E-2</v>
      </c>
      <c r="N61" s="381"/>
    </row>
    <row r="62" spans="2:14" x14ac:dyDescent="0.25">
      <c r="B62" s="641">
        <v>2005</v>
      </c>
      <c r="C62" s="642">
        <v>0.879</v>
      </c>
      <c r="D62" s="643">
        <f t="shared" si="4"/>
        <v>0.879</v>
      </c>
      <c r="E62" s="643">
        <f t="shared" si="4"/>
        <v>0.879</v>
      </c>
      <c r="F62" s="644">
        <f t="shared" si="4"/>
        <v>0.879</v>
      </c>
      <c r="G62" s="465">
        <f t="shared" si="1"/>
        <v>1.8539976825028948E-2</v>
      </c>
      <c r="H62" s="466">
        <f t="shared" si="1"/>
        <v>1.8539976825028948E-2</v>
      </c>
      <c r="I62" s="466">
        <f t="shared" si="1"/>
        <v>1.8539976825028948E-2</v>
      </c>
      <c r="J62" s="467">
        <f t="shared" si="1"/>
        <v>1.8539976825028948E-2</v>
      </c>
      <c r="N62" s="381"/>
    </row>
    <row r="63" spans="2:14" x14ac:dyDescent="0.25">
      <c r="B63" s="641">
        <v>2006</v>
      </c>
      <c r="C63" s="642">
        <v>0.89329999999999998</v>
      </c>
      <c r="D63" s="643">
        <f t="shared" si="4"/>
        <v>0.89329999999999998</v>
      </c>
      <c r="E63" s="643">
        <f t="shared" si="4"/>
        <v>0.89329999999999998</v>
      </c>
      <c r="F63" s="644">
        <f t="shared" si="4"/>
        <v>0.89329999999999998</v>
      </c>
      <c r="G63" s="465">
        <f t="shared" si="1"/>
        <v>1.6268486916951153E-2</v>
      </c>
      <c r="H63" s="466">
        <f t="shared" si="1"/>
        <v>1.6268486916951153E-2</v>
      </c>
      <c r="I63" s="466">
        <f t="shared" si="1"/>
        <v>1.6268486916951153E-2</v>
      </c>
      <c r="J63" s="467">
        <f t="shared" si="1"/>
        <v>1.6268486916951153E-2</v>
      </c>
      <c r="N63" s="381"/>
    </row>
    <row r="64" spans="2:14" x14ac:dyDescent="0.25">
      <c r="B64" s="641">
        <v>2007</v>
      </c>
      <c r="C64" s="642">
        <v>0.90659999999999996</v>
      </c>
      <c r="D64" s="643">
        <f t="shared" si="4"/>
        <v>0.90659999999999996</v>
      </c>
      <c r="E64" s="643">
        <f t="shared" si="4"/>
        <v>0.90659999999999996</v>
      </c>
      <c r="F64" s="644">
        <f t="shared" si="4"/>
        <v>0.90659999999999996</v>
      </c>
      <c r="G64" s="465">
        <f t="shared" si="1"/>
        <v>1.4888615246837489E-2</v>
      </c>
      <c r="H64" s="466">
        <f t="shared" si="1"/>
        <v>1.4888615246837489E-2</v>
      </c>
      <c r="I64" s="466">
        <f t="shared" si="1"/>
        <v>1.4888615246837489E-2</v>
      </c>
      <c r="J64" s="467">
        <f t="shared" si="1"/>
        <v>1.4888615246837489E-2</v>
      </c>
      <c r="N64" s="381"/>
    </row>
    <row r="65" spans="2:14" x14ac:dyDescent="0.25">
      <c r="B65" s="641">
        <v>2008</v>
      </c>
      <c r="C65" s="642">
        <v>0.93209999999999993</v>
      </c>
      <c r="D65" s="643">
        <f t="shared" si="4"/>
        <v>0.93209999999999993</v>
      </c>
      <c r="E65" s="643">
        <f t="shared" si="4"/>
        <v>0.93209999999999993</v>
      </c>
      <c r="F65" s="644">
        <f t="shared" si="4"/>
        <v>0.93209999999999993</v>
      </c>
      <c r="G65" s="465">
        <f t="shared" si="1"/>
        <v>2.8127068166776903E-2</v>
      </c>
      <c r="H65" s="466">
        <f t="shared" si="1"/>
        <v>2.8127068166776903E-2</v>
      </c>
      <c r="I65" s="466">
        <f t="shared" si="1"/>
        <v>2.8127068166776903E-2</v>
      </c>
      <c r="J65" s="467">
        <f t="shared" si="1"/>
        <v>2.8127068166776903E-2</v>
      </c>
      <c r="N65" s="381"/>
    </row>
    <row r="66" spans="2:14" x14ac:dyDescent="0.25">
      <c r="B66" s="641">
        <v>2009</v>
      </c>
      <c r="C66" s="642">
        <v>0.93290000000000006</v>
      </c>
      <c r="D66" s="643">
        <f t="shared" si="4"/>
        <v>0.93290000000000006</v>
      </c>
      <c r="E66" s="643">
        <f t="shared" si="4"/>
        <v>0.93290000000000006</v>
      </c>
      <c r="F66" s="644">
        <f t="shared" si="4"/>
        <v>0.93290000000000006</v>
      </c>
      <c r="G66" s="465">
        <f t="shared" si="1"/>
        <v>8.5827700890472869E-4</v>
      </c>
      <c r="H66" s="466">
        <f t="shared" si="1"/>
        <v>8.5827700890472869E-4</v>
      </c>
      <c r="I66" s="466">
        <f t="shared" si="1"/>
        <v>8.5827700890472869E-4</v>
      </c>
      <c r="J66" s="467">
        <f t="shared" si="1"/>
        <v>8.5827700890472869E-4</v>
      </c>
      <c r="N66" s="381"/>
    </row>
    <row r="67" spans="2:14" x14ac:dyDescent="0.25">
      <c r="B67" s="641">
        <v>2010</v>
      </c>
      <c r="C67" s="642">
        <v>0.94709999999999994</v>
      </c>
      <c r="D67" s="643">
        <f t="shared" si="4"/>
        <v>0.94709999999999994</v>
      </c>
      <c r="E67" s="643">
        <f t="shared" si="4"/>
        <v>0.94709999999999994</v>
      </c>
      <c r="F67" s="644">
        <f t="shared" si="4"/>
        <v>0.94709999999999994</v>
      </c>
      <c r="G67" s="465">
        <f t="shared" si="1"/>
        <v>1.5221352770929286E-2</v>
      </c>
      <c r="H67" s="466">
        <f t="shared" si="1"/>
        <v>1.5221352770929286E-2</v>
      </c>
      <c r="I67" s="466">
        <f t="shared" si="1"/>
        <v>1.5221352770929286E-2</v>
      </c>
      <c r="J67" s="467">
        <f t="shared" si="1"/>
        <v>1.5221352770929286E-2</v>
      </c>
      <c r="N67" s="381"/>
    </row>
    <row r="68" spans="2:14" x14ac:dyDescent="0.25">
      <c r="B68" s="641">
        <v>2011</v>
      </c>
      <c r="C68" s="642">
        <v>0.96709999999999996</v>
      </c>
      <c r="D68" s="643">
        <f t="shared" si="4"/>
        <v>0.96709999999999996</v>
      </c>
      <c r="E68" s="643">
        <f t="shared" si="4"/>
        <v>0.96709999999999996</v>
      </c>
      <c r="F68" s="644">
        <f t="shared" si="4"/>
        <v>0.96709999999999996</v>
      </c>
      <c r="G68" s="465">
        <f t="shared" si="1"/>
        <v>2.1117094287826044E-2</v>
      </c>
      <c r="H68" s="466">
        <f t="shared" si="1"/>
        <v>2.1117094287826044E-2</v>
      </c>
      <c r="I68" s="466">
        <f t="shared" si="1"/>
        <v>2.1117094287826044E-2</v>
      </c>
      <c r="J68" s="467">
        <f t="shared" si="1"/>
        <v>2.1117094287826044E-2</v>
      </c>
      <c r="N68" s="381"/>
    </row>
    <row r="69" spans="2:14" x14ac:dyDescent="0.25">
      <c r="B69" s="641">
        <v>2012</v>
      </c>
      <c r="C69" s="642">
        <v>0.98599999999999999</v>
      </c>
      <c r="D69" s="643">
        <f t="shared" si="4"/>
        <v>0.98599999999999999</v>
      </c>
      <c r="E69" s="643">
        <f t="shared" si="4"/>
        <v>0.98599999999999999</v>
      </c>
      <c r="F69" s="644">
        <f t="shared" si="4"/>
        <v>0.98599999999999999</v>
      </c>
      <c r="G69" s="465">
        <f t="shared" si="1"/>
        <v>1.9542963499121102E-2</v>
      </c>
      <c r="H69" s="466">
        <f t="shared" si="1"/>
        <v>1.9542963499121102E-2</v>
      </c>
      <c r="I69" s="466">
        <f t="shared" si="1"/>
        <v>1.9542963499121102E-2</v>
      </c>
      <c r="J69" s="467">
        <f t="shared" si="1"/>
        <v>1.9542963499121102E-2</v>
      </c>
      <c r="N69" s="381"/>
    </row>
    <row r="70" spans="2:14" x14ac:dyDescent="0.25">
      <c r="B70" s="641">
        <v>2013</v>
      </c>
      <c r="C70" s="642">
        <v>0.99459999999999993</v>
      </c>
      <c r="D70" s="643">
        <f t="shared" si="4"/>
        <v>0.99459999999999993</v>
      </c>
      <c r="E70" s="643">
        <f t="shared" si="4"/>
        <v>0.99459999999999993</v>
      </c>
      <c r="F70" s="644">
        <f t="shared" si="4"/>
        <v>0.99459999999999993</v>
      </c>
      <c r="G70" s="465">
        <f t="shared" si="1"/>
        <v>8.722109533468414E-3</v>
      </c>
      <c r="H70" s="466">
        <f t="shared" si="1"/>
        <v>8.722109533468414E-3</v>
      </c>
      <c r="I70" s="466">
        <f t="shared" si="1"/>
        <v>8.722109533468414E-3</v>
      </c>
      <c r="J70" s="467">
        <f t="shared" si="1"/>
        <v>8.722109533468414E-3</v>
      </c>
      <c r="N70" s="381"/>
    </row>
    <row r="71" spans="2:14" x14ac:dyDescent="0.25">
      <c r="B71" s="641">
        <v>2014</v>
      </c>
      <c r="C71" s="642">
        <v>0.99959999999999993</v>
      </c>
      <c r="D71" s="643">
        <f t="shared" ref="D71:F76" si="5">C71</f>
        <v>0.99959999999999993</v>
      </c>
      <c r="E71" s="643">
        <f t="shared" si="5"/>
        <v>0.99959999999999993</v>
      </c>
      <c r="F71" s="644">
        <f t="shared" si="5"/>
        <v>0.99959999999999993</v>
      </c>
      <c r="G71" s="465">
        <f t="shared" si="1"/>
        <v>5.0271465915945335E-3</v>
      </c>
      <c r="H71" s="466">
        <f t="shared" si="1"/>
        <v>5.0271465915945335E-3</v>
      </c>
      <c r="I71" s="466">
        <f t="shared" si="1"/>
        <v>5.0271465915945335E-3</v>
      </c>
      <c r="J71" s="467">
        <f t="shared" ref="J71:J76" si="6">F71/F70-1</f>
        <v>5.0271465915945335E-3</v>
      </c>
      <c r="N71" s="381"/>
    </row>
    <row r="72" spans="2:14" x14ac:dyDescent="0.25">
      <c r="B72" s="641">
        <v>2015</v>
      </c>
      <c r="C72" s="642">
        <v>1</v>
      </c>
      <c r="D72" s="643">
        <f t="shared" si="5"/>
        <v>1</v>
      </c>
      <c r="E72" s="643">
        <f t="shared" si="5"/>
        <v>1</v>
      </c>
      <c r="F72" s="644">
        <f t="shared" si="5"/>
        <v>1</v>
      </c>
      <c r="G72" s="465">
        <f t="shared" ref="G72:I76" si="7">C72/C71-1</f>
        <v>4.0016006402576743E-4</v>
      </c>
      <c r="H72" s="466">
        <f t="shared" si="7"/>
        <v>4.0016006402576743E-4</v>
      </c>
      <c r="I72" s="466">
        <f t="shared" si="7"/>
        <v>4.0016006402576743E-4</v>
      </c>
      <c r="J72" s="467">
        <f t="shared" si="6"/>
        <v>4.0016006402576743E-4</v>
      </c>
      <c r="N72" s="381"/>
    </row>
    <row r="73" spans="2:14" x14ac:dyDescent="0.25">
      <c r="B73" s="641">
        <v>2016</v>
      </c>
      <c r="C73" s="642">
        <v>1.0018</v>
      </c>
      <c r="D73" s="643">
        <f t="shared" si="5"/>
        <v>1.0018</v>
      </c>
      <c r="E73" s="643">
        <f t="shared" si="5"/>
        <v>1.0018</v>
      </c>
      <c r="F73" s="644">
        <f t="shared" si="5"/>
        <v>1.0018</v>
      </c>
      <c r="G73" s="465">
        <f t="shared" si="7"/>
        <v>1.8000000000000238E-3</v>
      </c>
      <c r="H73" s="466">
        <f t="shared" si="7"/>
        <v>1.8000000000000238E-3</v>
      </c>
      <c r="I73" s="466">
        <f t="shared" si="7"/>
        <v>1.8000000000000238E-3</v>
      </c>
      <c r="J73" s="467">
        <f t="shared" si="6"/>
        <v>1.8000000000000238E-3</v>
      </c>
    </row>
    <row r="74" spans="2:14" x14ac:dyDescent="0.25">
      <c r="B74" s="641">
        <v>2017</v>
      </c>
      <c r="C74" s="642">
        <v>1.0122</v>
      </c>
      <c r="D74" s="643">
        <f t="shared" si="5"/>
        <v>1.0122</v>
      </c>
      <c r="E74" s="643">
        <f t="shared" si="5"/>
        <v>1.0122</v>
      </c>
      <c r="F74" s="644">
        <f t="shared" si="5"/>
        <v>1.0122</v>
      </c>
      <c r="G74" s="465">
        <f t="shared" si="7"/>
        <v>1.0381313635456246E-2</v>
      </c>
      <c r="H74" s="466">
        <f t="shared" si="7"/>
        <v>1.0381313635456246E-2</v>
      </c>
      <c r="I74" s="466">
        <f t="shared" si="7"/>
        <v>1.0381313635456246E-2</v>
      </c>
      <c r="J74" s="467">
        <f t="shared" si="6"/>
        <v>1.0381313635456246E-2</v>
      </c>
    </row>
    <row r="75" spans="2:14" x14ac:dyDescent="0.25">
      <c r="B75" s="641">
        <v>2018</v>
      </c>
      <c r="C75" s="642">
        <v>1.0308999999999999</v>
      </c>
      <c r="D75" s="643">
        <f t="shared" si="5"/>
        <v>1.0308999999999999</v>
      </c>
      <c r="E75" s="643">
        <f t="shared" si="5"/>
        <v>1.0308999999999999</v>
      </c>
      <c r="F75" s="644">
        <f t="shared" si="5"/>
        <v>1.0308999999999999</v>
      </c>
      <c r="G75" s="465">
        <f t="shared" si="7"/>
        <v>1.8474609760916749E-2</v>
      </c>
      <c r="H75" s="466">
        <f t="shared" si="7"/>
        <v>1.8474609760916749E-2</v>
      </c>
      <c r="I75" s="466">
        <f t="shared" si="7"/>
        <v>1.8474609760916749E-2</v>
      </c>
      <c r="J75" s="467">
        <f t="shared" si="6"/>
        <v>1.8474609760916749E-2</v>
      </c>
    </row>
    <row r="76" spans="2:14" x14ac:dyDescent="0.25">
      <c r="B76" s="641">
        <v>2019</v>
      </c>
      <c r="C76" s="642">
        <v>1.0423</v>
      </c>
      <c r="D76" s="643">
        <f t="shared" si="5"/>
        <v>1.0423</v>
      </c>
      <c r="E76" s="643">
        <f t="shared" si="5"/>
        <v>1.0423</v>
      </c>
      <c r="F76" s="644">
        <f t="shared" si="5"/>
        <v>1.0423</v>
      </c>
      <c r="G76" s="465">
        <f t="shared" si="7"/>
        <v>1.1058298574061487E-2</v>
      </c>
      <c r="H76" s="466">
        <f t="shared" si="7"/>
        <v>1.1058298574061487E-2</v>
      </c>
      <c r="I76" s="466">
        <f t="shared" si="7"/>
        <v>1.1058298574061487E-2</v>
      </c>
      <c r="J76" s="467">
        <f t="shared" si="6"/>
        <v>1.1058298574061487E-2</v>
      </c>
    </row>
    <row r="77" spans="2:14" x14ac:dyDescent="0.25">
      <c r="B77" s="641">
        <v>2020</v>
      </c>
      <c r="C77" s="642">
        <f t="shared" ref="C77:F92" si="8">C76*(1+G77)</f>
        <v>1.0473000000000001</v>
      </c>
      <c r="D77" s="643">
        <f t="shared" si="8"/>
        <v>1.0473000000000001</v>
      </c>
      <c r="E77" s="643">
        <f t="shared" si="8"/>
        <v>1.0473000000000001</v>
      </c>
      <c r="F77" s="644">
        <f t="shared" si="8"/>
        <v>1.0473000000000001</v>
      </c>
      <c r="G77" s="465">
        <v>4.7970833733090856E-3</v>
      </c>
      <c r="H77" s="466">
        <v>4.7970833733090856E-3</v>
      </c>
      <c r="I77" s="466">
        <v>4.7970833733090856E-3</v>
      </c>
      <c r="J77" s="467">
        <v>4.7970833733090856E-3</v>
      </c>
    </row>
    <row r="78" spans="2:14" x14ac:dyDescent="0.25">
      <c r="B78" s="646">
        <v>2021</v>
      </c>
      <c r="C78" s="647">
        <f t="shared" si="8"/>
        <v>1.0588203</v>
      </c>
      <c r="D78" s="648">
        <f t="shared" si="8"/>
        <v>1.0588203</v>
      </c>
      <c r="E78" s="648">
        <f t="shared" si="8"/>
        <v>1.0588203</v>
      </c>
      <c r="F78" s="649">
        <f t="shared" si="8"/>
        <v>1.0588203</v>
      </c>
      <c r="G78" s="468">
        <v>1.1000000000000001E-2</v>
      </c>
      <c r="H78" s="469">
        <v>1.1000000000000001E-2</v>
      </c>
      <c r="I78" s="469">
        <v>1.1000000000000001E-2</v>
      </c>
      <c r="J78" s="470">
        <v>1.1000000000000001E-2</v>
      </c>
    </row>
    <row r="79" spans="2:14" x14ac:dyDescent="0.25">
      <c r="B79" s="646">
        <v>2022</v>
      </c>
      <c r="C79" s="647">
        <f t="shared" si="8"/>
        <v>1.0672908624000002</v>
      </c>
      <c r="D79" s="648">
        <f t="shared" si="8"/>
        <v>1.0672908624000002</v>
      </c>
      <c r="E79" s="648">
        <f t="shared" si="8"/>
        <v>1.0672908624000002</v>
      </c>
      <c r="F79" s="649">
        <f t="shared" si="8"/>
        <v>1.0672908624000002</v>
      </c>
      <c r="G79" s="468">
        <v>8.0000000000000002E-3</v>
      </c>
      <c r="H79" s="469">
        <v>8.0000000000000002E-3</v>
      </c>
      <c r="I79" s="469">
        <v>8.0000000000000002E-3</v>
      </c>
      <c r="J79" s="470">
        <v>8.0000000000000002E-3</v>
      </c>
    </row>
    <row r="80" spans="2:14" x14ac:dyDescent="0.25">
      <c r="B80" s="646">
        <v>2023</v>
      </c>
      <c r="C80" s="647">
        <f t="shared" si="8"/>
        <v>1.0800983527488002</v>
      </c>
      <c r="D80" s="648">
        <f t="shared" si="8"/>
        <v>1.0800983527488002</v>
      </c>
      <c r="E80" s="648">
        <f t="shared" si="8"/>
        <v>1.0800983527488002</v>
      </c>
      <c r="F80" s="649">
        <f t="shared" si="8"/>
        <v>1.0800983527488002</v>
      </c>
      <c r="G80" s="468">
        <v>1.2E-2</v>
      </c>
      <c r="H80" s="469">
        <v>1.2E-2</v>
      </c>
      <c r="I80" s="469">
        <v>1.2E-2</v>
      </c>
      <c r="J80" s="470">
        <v>1.2E-2</v>
      </c>
    </row>
    <row r="81" spans="2:10" x14ac:dyDescent="0.25">
      <c r="B81" s="646">
        <v>2024</v>
      </c>
      <c r="C81" s="647">
        <f t="shared" si="8"/>
        <v>1.096299828040032</v>
      </c>
      <c r="D81" s="648">
        <f t="shared" si="8"/>
        <v>1.096299828040032</v>
      </c>
      <c r="E81" s="648">
        <f t="shared" si="8"/>
        <v>1.096299828040032</v>
      </c>
      <c r="F81" s="649">
        <f t="shared" si="8"/>
        <v>1.096299828040032</v>
      </c>
      <c r="G81" s="468">
        <v>1.4999999999999999E-2</v>
      </c>
      <c r="H81" s="469">
        <v>1.4999999999999999E-2</v>
      </c>
      <c r="I81" s="469">
        <v>1.4999999999999999E-2</v>
      </c>
      <c r="J81" s="470">
        <v>1.4999999999999999E-2</v>
      </c>
    </row>
    <row r="82" spans="2:10" x14ac:dyDescent="0.25">
      <c r="B82" s="646">
        <v>2025</v>
      </c>
      <c r="C82" s="647">
        <f t="shared" si="8"/>
        <v>1.1154850750307326</v>
      </c>
      <c r="D82" s="648">
        <f t="shared" si="8"/>
        <v>1.1154850750307326</v>
      </c>
      <c r="E82" s="648">
        <f t="shared" si="8"/>
        <v>1.1154850750307326</v>
      </c>
      <c r="F82" s="649">
        <f t="shared" si="8"/>
        <v>1.1154850750307326</v>
      </c>
      <c r="G82" s="468">
        <v>1.7500000000000002E-2</v>
      </c>
      <c r="H82" s="469">
        <v>1.7500000000000002E-2</v>
      </c>
      <c r="I82" s="469">
        <v>1.7500000000000002E-2</v>
      </c>
      <c r="J82" s="470">
        <v>1.7500000000000002E-2</v>
      </c>
    </row>
    <row r="83" spans="2:10" x14ac:dyDescent="0.25">
      <c r="B83" s="646">
        <v>2026</v>
      </c>
      <c r="C83" s="647">
        <f t="shared" si="8"/>
        <v>1.1350060638437705</v>
      </c>
      <c r="D83" s="648">
        <f t="shared" si="8"/>
        <v>1.1350060638437705</v>
      </c>
      <c r="E83" s="648">
        <f t="shared" si="8"/>
        <v>1.1350060638437705</v>
      </c>
      <c r="F83" s="649">
        <f t="shared" si="8"/>
        <v>1.1350060638437705</v>
      </c>
      <c r="G83" s="468">
        <v>1.7500000000000002E-2</v>
      </c>
      <c r="H83" s="469">
        <v>1.7500000000000002E-2</v>
      </c>
      <c r="I83" s="469">
        <v>1.7500000000000002E-2</v>
      </c>
      <c r="J83" s="470">
        <v>1.7500000000000002E-2</v>
      </c>
    </row>
    <row r="84" spans="2:10" x14ac:dyDescent="0.25">
      <c r="B84" s="646">
        <v>2027</v>
      </c>
      <c r="C84" s="647">
        <f t="shared" si="8"/>
        <v>1.1548686699610364</v>
      </c>
      <c r="D84" s="648">
        <f t="shared" si="8"/>
        <v>1.1548686699610364</v>
      </c>
      <c r="E84" s="648">
        <f t="shared" si="8"/>
        <v>1.1548686699610364</v>
      </c>
      <c r="F84" s="649">
        <f t="shared" si="8"/>
        <v>1.1548686699610364</v>
      </c>
      <c r="G84" s="468">
        <v>1.7500000000000002E-2</v>
      </c>
      <c r="H84" s="469">
        <v>1.7500000000000002E-2</v>
      </c>
      <c r="I84" s="469">
        <v>1.7500000000000002E-2</v>
      </c>
      <c r="J84" s="470">
        <v>1.7500000000000002E-2</v>
      </c>
    </row>
    <row r="85" spans="2:10" x14ac:dyDescent="0.25">
      <c r="B85" s="646">
        <v>2028</v>
      </c>
      <c r="C85" s="647">
        <f t="shared" si="8"/>
        <v>1.1750788716853546</v>
      </c>
      <c r="D85" s="648">
        <f t="shared" si="8"/>
        <v>1.1750788716853546</v>
      </c>
      <c r="E85" s="648">
        <f t="shared" si="8"/>
        <v>1.1750788716853546</v>
      </c>
      <c r="F85" s="649">
        <f t="shared" si="8"/>
        <v>1.1750788716853546</v>
      </c>
      <c r="G85" s="468">
        <v>1.7500000000000002E-2</v>
      </c>
      <c r="H85" s="469">
        <v>1.7500000000000002E-2</v>
      </c>
      <c r="I85" s="469">
        <v>1.7500000000000002E-2</v>
      </c>
      <c r="J85" s="470">
        <v>1.7500000000000002E-2</v>
      </c>
    </row>
    <row r="86" spans="2:10" x14ac:dyDescent="0.25">
      <c r="B86" s="646">
        <v>2029</v>
      </c>
      <c r="C86" s="647">
        <f t="shared" si="8"/>
        <v>1.1956427519398485</v>
      </c>
      <c r="D86" s="648">
        <f t="shared" si="8"/>
        <v>1.1956427519398485</v>
      </c>
      <c r="E86" s="648">
        <f t="shared" si="8"/>
        <v>1.1956427519398485</v>
      </c>
      <c r="F86" s="649">
        <f t="shared" si="8"/>
        <v>1.1956427519398485</v>
      </c>
      <c r="G86" s="468">
        <v>1.7500000000000002E-2</v>
      </c>
      <c r="H86" s="469">
        <v>1.7500000000000002E-2</v>
      </c>
      <c r="I86" s="469">
        <v>1.7500000000000002E-2</v>
      </c>
      <c r="J86" s="470">
        <v>1.7500000000000002E-2</v>
      </c>
    </row>
    <row r="87" spans="2:10" x14ac:dyDescent="0.25">
      <c r="B87" s="646">
        <v>2030</v>
      </c>
      <c r="C87" s="647">
        <f t="shared" si="8"/>
        <v>1.216566500098796</v>
      </c>
      <c r="D87" s="648">
        <f t="shared" si="8"/>
        <v>1.216566500098796</v>
      </c>
      <c r="E87" s="648">
        <f t="shared" si="8"/>
        <v>1.216566500098796</v>
      </c>
      <c r="F87" s="649">
        <f t="shared" si="8"/>
        <v>1.216566500098796</v>
      </c>
      <c r="G87" s="468">
        <v>1.7500000000000002E-2</v>
      </c>
      <c r="H87" s="469">
        <v>1.7500000000000002E-2</v>
      </c>
      <c r="I87" s="469">
        <v>1.7500000000000002E-2</v>
      </c>
      <c r="J87" s="470">
        <v>1.7500000000000002E-2</v>
      </c>
    </row>
    <row r="88" spans="2:10" x14ac:dyDescent="0.25">
      <c r="B88" s="646">
        <v>2031</v>
      </c>
      <c r="C88" s="647">
        <f t="shared" si="8"/>
        <v>1.237856413850525</v>
      </c>
      <c r="D88" s="648">
        <f t="shared" si="8"/>
        <v>1.237856413850525</v>
      </c>
      <c r="E88" s="648">
        <f t="shared" si="8"/>
        <v>1.237856413850525</v>
      </c>
      <c r="F88" s="649">
        <f t="shared" si="8"/>
        <v>1.237856413850525</v>
      </c>
      <c r="G88" s="468">
        <v>1.7500000000000002E-2</v>
      </c>
      <c r="H88" s="469">
        <v>1.7500000000000002E-2</v>
      </c>
      <c r="I88" s="469">
        <v>1.7500000000000002E-2</v>
      </c>
      <c r="J88" s="470">
        <v>1.7500000000000002E-2</v>
      </c>
    </row>
    <row r="89" spans="2:10" x14ac:dyDescent="0.25">
      <c r="B89" s="646">
        <v>2032</v>
      </c>
      <c r="C89" s="647">
        <f t="shared" si="8"/>
        <v>1.2595189010929093</v>
      </c>
      <c r="D89" s="648">
        <f t="shared" si="8"/>
        <v>1.2595189010929093</v>
      </c>
      <c r="E89" s="648">
        <f t="shared" si="8"/>
        <v>1.2595189010929093</v>
      </c>
      <c r="F89" s="649">
        <f t="shared" si="8"/>
        <v>1.2595189010929093</v>
      </c>
      <c r="G89" s="468">
        <v>1.7500000000000002E-2</v>
      </c>
      <c r="H89" s="469">
        <v>1.7500000000000002E-2</v>
      </c>
      <c r="I89" s="469">
        <v>1.7500000000000002E-2</v>
      </c>
      <c r="J89" s="470">
        <v>1.7500000000000002E-2</v>
      </c>
    </row>
    <row r="90" spans="2:10" x14ac:dyDescent="0.25">
      <c r="B90" s="646">
        <v>2033</v>
      </c>
      <c r="C90" s="647">
        <f t="shared" si="8"/>
        <v>1.2815604818620354</v>
      </c>
      <c r="D90" s="648">
        <f t="shared" si="8"/>
        <v>1.2815604818620354</v>
      </c>
      <c r="E90" s="648">
        <f t="shared" si="8"/>
        <v>1.2815604818620354</v>
      </c>
      <c r="F90" s="649">
        <f t="shared" si="8"/>
        <v>1.2815604818620354</v>
      </c>
      <c r="G90" s="468">
        <v>1.7500000000000002E-2</v>
      </c>
      <c r="H90" s="469">
        <v>1.7500000000000002E-2</v>
      </c>
      <c r="I90" s="469">
        <v>1.7500000000000002E-2</v>
      </c>
      <c r="J90" s="470">
        <v>1.7500000000000002E-2</v>
      </c>
    </row>
    <row r="91" spans="2:10" x14ac:dyDescent="0.25">
      <c r="B91" s="646">
        <v>2034</v>
      </c>
      <c r="C91" s="647">
        <f t="shared" si="8"/>
        <v>1.3039877902946211</v>
      </c>
      <c r="D91" s="648">
        <f t="shared" si="8"/>
        <v>1.3039877902946211</v>
      </c>
      <c r="E91" s="648">
        <f t="shared" si="8"/>
        <v>1.3039877902946211</v>
      </c>
      <c r="F91" s="649">
        <f t="shared" si="8"/>
        <v>1.3039877902946211</v>
      </c>
      <c r="G91" s="468">
        <v>1.7500000000000002E-2</v>
      </c>
      <c r="H91" s="469">
        <v>1.7500000000000002E-2</v>
      </c>
      <c r="I91" s="469">
        <v>1.7500000000000002E-2</v>
      </c>
      <c r="J91" s="470">
        <v>1.7500000000000002E-2</v>
      </c>
    </row>
    <row r="92" spans="2:10" x14ac:dyDescent="0.25">
      <c r="B92" s="646">
        <v>2035</v>
      </c>
      <c r="C92" s="647">
        <f t="shared" si="8"/>
        <v>1.3268075766247771</v>
      </c>
      <c r="D92" s="648">
        <f t="shared" si="8"/>
        <v>1.3268075766247771</v>
      </c>
      <c r="E92" s="648">
        <f t="shared" si="8"/>
        <v>1.3268075766247771</v>
      </c>
      <c r="F92" s="649">
        <f t="shared" si="8"/>
        <v>1.3268075766247771</v>
      </c>
      <c r="G92" s="468">
        <v>1.7500000000000002E-2</v>
      </c>
      <c r="H92" s="469">
        <v>1.7500000000000002E-2</v>
      </c>
      <c r="I92" s="469">
        <v>1.7500000000000002E-2</v>
      </c>
      <c r="J92" s="470">
        <v>1.7500000000000002E-2</v>
      </c>
    </row>
    <row r="93" spans="2:10" x14ac:dyDescent="0.25">
      <c r="B93" s="646">
        <v>2036</v>
      </c>
      <c r="C93" s="647">
        <f t="shared" ref="C93:F108" si="9">C92*(1+G93)</f>
        <v>1.3500267092157108</v>
      </c>
      <c r="D93" s="648">
        <f t="shared" si="9"/>
        <v>1.3500267092157108</v>
      </c>
      <c r="E93" s="648">
        <f t="shared" si="9"/>
        <v>1.3500267092157108</v>
      </c>
      <c r="F93" s="649">
        <f t="shared" si="9"/>
        <v>1.3500267092157108</v>
      </c>
      <c r="G93" s="468">
        <v>1.7500000000000002E-2</v>
      </c>
      <c r="H93" s="469">
        <v>1.7500000000000002E-2</v>
      </c>
      <c r="I93" s="469">
        <v>1.7500000000000002E-2</v>
      </c>
      <c r="J93" s="470">
        <v>1.7500000000000002E-2</v>
      </c>
    </row>
    <row r="94" spans="2:10" x14ac:dyDescent="0.25">
      <c r="B94" s="646">
        <v>2037</v>
      </c>
      <c r="C94" s="647">
        <f t="shared" si="9"/>
        <v>1.3736521766269858</v>
      </c>
      <c r="D94" s="648">
        <f t="shared" si="9"/>
        <v>1.3736521766269858</v>
      </c>
      <c r="E94" s="648">
        <f t="shared" si="9"/>
        <v>1.3736521766269858</v>
      </c>
      <c r="F94" s="649">
        <f t="shared" si="9"/>
        <v>1.3736521766269858</v>
      </c>
      <c r="G94" s="468">
        <v>1.7500000000000002E-2</v>
      </c>
      <c r="H94" s="469">
        <v>1.7500000000000002E-2</v>
      </c>
      <c r="I94" s="469">
        <v>1.7500000000000002E-2</v>
      </c>
      <c r="J94" s="470">
        <v>1.7500000000000002E-2</v>
      </c>
    </row>
    <row r="95" spans="2:10" x14ac:dyDescent="0.25">
      <c r="B95" s="646">
        <v>2038</v>
      </c>
      <c r="C95" s="647">
        <f t="shared" si="9"/>
        <v>1.3976910897179582</v>
      </c>
      <c r="D95" s="648">
        <f t="shared" si="9"/>
        <v>1.3976910897179582</v>
      </c>
      <c r="E95" s="648">
        <f t="shared" si="9"/>
        <v>1.3976910897179582</v>
      </c>
      <c r="F95" s="649">
        <f t="shared" si="9"/>
        <v>1.3976910897179582</v>
      </c>
      <c r="G95" s="468">
        <v>1.7500000000000002E-2</v>
      </c>
      <c r="H95" s="469">
        <v>1.7500000000000002E-2</v>
      </c>
      <c r="I95" s="469">
        <v>1.7500000000000002E-2</v>
      </c>
      <c r="J95" s="470">
        <v>1.7500000000000002E-2</v>
      </c>
    </row>
    <row r="96" spans="2:10" x14ac:dyDescent="0.25">
      <c r="B96" s="646">
        <v>2039</v>
      </c>
      <c r="C96" s="647">
        <f t="shared" si="9"/>
        <v>1.4221506837880225</v>
      </c>
      <c r="D96" s="648">
        <f t="shared" si="9"/>
        <v>1.4221506837880225</v>
      </c>
      <c r="E96" s="648">
        <f t="shared" si="9"/>
        <v>1.4221506837880225</v>
      </c>
      <c r="F96" s="649">
        <f t="shared" si="9"/>
        <v>1.4221506837880225</v>
      </c>
      <c r="G96" s="468">
        <v>1.7500000000000002E-2</v>
      </c>
      <c r="H96" s="469">
        <v>1.7500000000000002E-2</v>
      </c>
      <c r="I96" s="469">
        <v>1.7500000000000002E-2</v>
      </c>
      <c r="J96" s="470">
        <v>1.7500000000000002E-2</v>
      </c>
    </row>
    <row r="97" spans="2:10" x14ac:dyDescent="0.25">
      <c r="B97" s="646">
        <v>2040</v>
      </c>
      <c r="C97" s="647">
        <f t="shared" si="9"/>
        <v>1.4470383207543129</v>
      </c>
      <c r="D97" s="648">
        <f t="shared" si="9"/>
        <v>1.4470383207543129</v>
      </c>
      <c r="E97" s="648">
        <f t="shared" si="9"/>
        <v>1.4470383207543129</v>
      </c>
      <c r="F97" s="649">
        <f t="shared" si="9"/>
        <v>1.4470383207543129</v>
      </c>
      <c r="G97" s="468">
        <v>1.7500000000000002E-2</v>
      </c>
      <c r="H97" s="469">
        <v>1.7500000000000002E-2</v>
      </c>
      <c r="I97" s="469">
        <v>1.7500000000000002E-2</v>
      </c>
      <c r="J97" s="470">
        <v>1.7500000000000002E-2</v>
      </c>
    </row>
    <row r="98" spans="2:10" x14ac:dyDescent="0.25">
      <c r="B98" s="646">
        <v>2041</v>
      </c>
      <c r="C98" s="647">
        <f t="shared" si="9"/>
        <v>1.4723614913675136</v>
      </c>
      <c r="D98" s="648">
        <f t="shared" si="9"/>
        <v>1.4723614913675136</v>
      </c>
      <c r="E98" s="648">
        <f t="shared" si="9"/>
        <v>1.4723614913675136</v>
      </c>
      <c r="F98" s="649">
        <f t="shared" si="9"/>
        <v>1.4723614913675136</v>
      </c>
      <c r="G98" s="468">
        <v>1.7500000000000002E-2</v>
      </c>
      <c r="H98" s="469">
        <v>1.7500000000000002E-2</v>
      </c>
      <c r="I98" s="469">
        <v>1.7500000000000002E-2</v>
      </c>
      <c r="J98" s="470">
        <v>1.7500000000000002E-2</v>
      </c>
    </row>
    <row r="99" spans="2:10" x14ac:dyDescent="0.25">
      <c r="B99" s="646">
        <v>2042</v>
      </c>
      <c r="C99" s="647">
        <f t="shared" si="9"/>
        <v>1.4981278174664452</v>
      </c>
      <c r="D99" s="648">
        <f t="shared" si="9"/>
        <v>1.4981278174664452</v>
      </c>
      <c r="E99" s="648">
        <f t="shared" si="9"/>
        <v>1.4981278174664452</v>
      </c>
      <c r="F99" s="649">
        <f t="shared" si="9"/>
        <v>1.4981278174664452</v>
      </c>
      <c r="G99" s="468">
        <v>1.7500000000000002E-2</v>
      </c>
      <c r="H99" s="469">
        <v>1.7500000000000002E-2</v>
      </c>
      <c r="I99" s="469">
        <v>1.7500000000000002E-2</v>
      </c>
      <c r="J99" s="470">
        <v>1.7500000000000002E-2</v>
      </c>
    </row>
    <row r="100" spans="2:10" x14ac:dyDescent="0.25">
      <c r="B100" s="646">
        <v>2043</v>
      </c>
      <c r="C100" s="647">
        <f t="shared" si="9"/>
        <v>1.524345054272108</v>
      </c>
      <c r="D100" s="648">
        <f t="shared" si="9"/>
        <v>1.524345054272108</v>
      </c>
      <c r="E100" s="648">
        <f t="shared" si="9"/>
        <v>1.524345054272108</v>
      </c>
      <c r="F100" s="649">
        <f t="shared" si="9"/>
        <v>1.524345054272108</v>
      </c>
      <c r="G100" s="468">
        <v>1.7500000000000002E-2</v>
      </c>
      <c r="H100" s="469">
        <v>1.7500000000000002E-2</v>
      </c>
      <c r="I100" s="469">
        <v>1.7500000000000002E-2</v>
      </c>
      <c r="J100" s="470">
        <v>1.7500000000000002E-2</v>
      </c>
    </row>
    <row r="101" spans="2:10" x14ac:dyDescent="0.25">
      <c r="B101" s="646">
        <v>2044</v>
      </c>
      <c r="C101" s="647">
        <f t="shared" si="9"/>
        <v>1.5510210927218699</v>
      </c>
      <c r="D101" s="648">
        <f t="shared" si="9"/>
        <v>1.5510210927218699</v>
      </c>
      <c r="E101" s="648">
        <f t="shared" si="9"/>
        <v>1.5510210927218699</v>
      </c>
      <c r="F101" s="649">
        <f t="shared" si="9"/>
        <v>1.5510210927218699</v>
      </c>
      <c r="G101" s="468">
        <v>1.7500000000000002E-2</v>
      </c>
      <c r="H101" s="469">
        <v>1.7500000000000002E-2</v>
      </c>
      <c r="I101" s="469">
        <v>1.7500000000000002E-2</v>
      </c>
      <c r="J101" s="470">
        <v>1.7500000000000002E-2</v>
      </c>
    </row>
    <row r="102" spans="2:10" x14ac:dyDescent="0.25">
      <c r="B102" s="646">
        <v>2045</v>
      </c>
      <c r="C102" s="647">
        <f t="shared" si="9"/>
        <v>1.5781639618445027</v>
      </c>
      <c r="D102" s="648">
        <f t="shared" si="9"/>
        <v>1.5781639618445027</v>
      </c>
      <c r="E102" s="648">
        <f t="shared" si="9"/>
        <v>1.5781639618445027</v>
      </c>
      <c r="F102" s="649">
        <f t="shared" si="9"/>
        <v>1.5781639618445027</v>
      </c>
      <c r="G102" s="468">
        <v>1.7500000000000002E-2</v>
      </c>
      <c r="H102" s="469">
        <v>1.7500000000000002E-2</v>
      </c>
      <c r="I102" s="469">
        <v>1.7500000000000002E-2</v>
      </c>
      <c r="J102" s="470">
        <v>1.7500000000000002E-2</v>
      </c>
    </row>
    <row r="103" spans="2:10" x14ac:dyDescent="0.25">
      <c r="B103" s="646">
        <v>2046</v>
      </c>
      <c r="C103" s="647">
        <f t="shared" si="9"/>
        <v>1.6057818311767815</v>
      </c>
      <c r="D103" s="648">
        <f t="shared" si="9"/>
        <v>1.6057818311767815</v>
      </c>
      <c r="E103" s="648">
        <f t="shared" si="9"/>
        <v>1.6057818311767815</v>
      </c>
      <c r="F103" s="649">
        <f t="shared" si="9"/>
        <v>1.6057818311767815</v>
      </c>
      <c r="G103" s="468">
        <v>1.7500000000000002E-2</v>
      </c>
      <c r="H103" s="469">
        <v>1.7500000000000002E-2</v>
      </c>
      <c r="I103" s="469">
        <v>1.7500000000000002E-2</v>
      </c>
      <c r="J103" s="470">
        <v>1.7500000000000002E-2</v>
      </c>
    </row>
    <row r="104" spans="2:10" x14ac:dyDescent="0.25">
      <c r="B104" s="646">
        <v>2047</v>
      </c>
      <c r="C104" s="647">
        <f t="shared" si="9"/>
        <v>1.6338830132223754</v>
      </c>
      <c r="D104" s="648">
        <f t="shared" si="9"/>
        <v>1.6338830132223754</v>
      </c>
      <c r="E104" s="648">
        <f t="shared" si="9"/>
        <v>1.6338830132223754</v>
      </c>
      <c r="F104" s="649">
        <f t="shared" si="9"/>
        <v>1.6338830132223754</v>
      </c>
      <c r="G104" s="468">
        <v>1.7500000000000002E-2</v>
      </c>
      <c r="H104" s="469">
        <v>1.7500000000000002E-2</v>
      </c>
      <c r="I104" s="469">
        <v>1.7500000000000002E-2</v>
      </c>
      <c r="J104" s="470">
        <v>1.7500000000000002E-2</v>
      </c>
    </row>
    <row r="105" spans="2:10" x14ac:dyDescent="0.25">
      <c r="B105" s="646">
        <v>2048</v>
      </c>
      <c r="C105" s="647">
        <f t="shared" si="9"/>
        <v>1.6624759659537671</v>
      </c>
      <c r="D105" s="648">
        <f t="shared" si="9"/>
        <v>1.6624759659537671</v>
      </c>
      <c r="E105" s="648">
        <f t="shared" si="9"/>
        <v>1.6624759659537671</v>
      </c>
      <c r="F105" s="649">
        <f t="shared" si="9"/>
        <v>1.6624759659537671</v>
      </c>
      <c r="G105" s="468">
        <v>1.7500000000000002E-2</v>
      </c>
      <c r="H105" s="469">
        <v>1.7500000000000002E-2</v>
      </c>
      <c r="I105" s="469">
        <v>1.7500000000000002E-2</v>
      </c>
      <c r="J105" s="470">
        <v>1.7500000000000002E-2</v>
      </c>
    </row>
    <row r="106" spans="2:10" x14ac:dyDescent="0.25">
      <c r="B106" s="646">
        <v>2049</v>
      </c>
      <c r="C106" s="647">
        <f t="shared" si="9"/>
        <v>1.6915692953579582</v>
      </c>
      <c r="D106" s="648">
        <f t="shared" si="9"/>
        <v>1.6915692953579582</v>
      </c>
      <c r="E106" s="648">
        <f t="shared" si="9"/>
        <v>1.6915692953579582</v>
      </c>
      <c r="F106" s="649">
        <f t="shared" si="9"/>
        <v>1.6915692953579582</v>
      </c>
      <c r="G106" s="468">
        <v>1.7500000000000002E-2</v>
      </c>
      <c r="H106" s="469">
        <v>1.7500000000000002E-2</v>
      </c>
      <c r="I106" s="469">
        <v>1.7500000000000002E-2</v>
      </c>
      <c r="J106" s="470">
        <v>1.7500000000000002E-2</v>
      </c>
    </row>
    <row r="107" spans="2:10" x14ac:dyDescent="0.25">
      <c r="B107" s="646">
        <v>2050</v>
      </c>
      <c r="C107" s="647">
        <f t="shared" si="9"/>
        <v>1.7211717580267225</v>
      </c>
      <c r="D107" s="648">
        <f t="shared" si="9"/>
        <v>1.7211717580267225</v>
      </c>
      <c r="E107" s="648">
        <f t="shared" si="9"/>
        <v>1.7211717580267225</v>
      </c>
      <c r="F107" s="649">
        <f t="shared" si="9"/>
        <v>1.7211717580267225</v>
      </c>
      <c r="G107" s="468">
        <v>1.7500000000000002E-2</v>
      </c>
      <c r="H107" s="469">
        <v>1.7500000000000002E-2</v>
      </c>
      <c r="I107" s="469">
        <v>1.7500000000000002E-2</v>
      </c>
      <c r="J107" s="470">
        <v>1.7500000000000002E-2</v>
      </c>
    </row>
    <row r="108" spans="2:10" x14ac:dyDescent="0.25">
      <c r="B108" s="646">
        <v>2051</v>
      </c>
      <c r="C108" s="647">
        <f t="shared" si="9"/>
        <v>1.7512922637921904</v>
      </c>
      <c r="D108" s="648">
        <f t="shared" si="9"/>
        <v>1.7512922637921904</v>
      </c>
      <c r="E108" s="648">
        <f t="shared" si="9"/>
        <v>1.7512922637921904</v>
      </c>
      <c r="F108" s="649">
        <f t="shared" si="9"/>
        <v>1.7512922637921904</v>
      </c>
      <c r="G108" s="468">
        <v>1.7500000000000002E-2</v>
      </c>
      <c r="H108" s="469">
        <v>1.7500000000000002E-2</v>
      </c>
      <c r="I108" s="469">
        <v>1.7500000000000002E-2</v>
      </c>
      <c r="J108" s="470">
        <v>1.7500000000000002E-2</v>
      </c>
    </row>
    <row r="109" spans="2:10" x14ac:dyDescent="0.25">
      <c r="B109" s="646">
        <v>2052</v>
      </c>
      <c r="C109" s="647">
        <f t="shared" ref="C109:F124" si="10">C108*(1+G109)</f>
        <v>1.7819398784085538</v>
      </c>
      <c r="D109" s="648">
        <f t="shared" si="10"/>
        <v>1.7819398784085538</v>
      </c>
      <c r="E109" s="648">
        <f t="shared" si="10"/>
        <v>1.7819398784085538</v>
      </c>
      <c r="F109" s="649">
        <f t="shared" si="10"/>
        <v>1.7819398784085538</v>
      </c>
      <c r="G109" s="468">
        <v>1.7500000000000002E-2</v>
      </c>
      <c r="H109" s="469">
        <v>1.7500000000000002E-2</v>
      </c>
      <c r="I109" s="469">
        <v>1.7500000000000002E-2</v>
      </c>
      <c r="J109" s="470">
        <v>1.7500000000000002E-2</v>
      </c>
    </row>
    <row r="110" spans="2:10" x14ac:dyDescent="0.25">
      <c r="B110" s="646">
        <v>2053</v>
      </c>
      <c r="C110" s="647">
        <f t="shared" si="10"/>
        <v>1.8131238262807037</v>
      </c>
      <c r="D110" s="648">
        <f t="shared" si="10"/>
        <v>1.8131238262807037</v>
      </c>
      <c r="E110" s="648">
        <f t="shared" si="10"/>
        <v>1.8131238262807037</v>
      </c>
      <c r="F110" s="649">
        <f t="shared" si="10"/>
        <v>1.8131238262807037</v>
      </c>
      <c r="G110" s="468">
        <v>1.7500000000000002E-2</v>
      </c>
      <c r="H110" s="469">
        <v>1.7500000000000002E-2</v>
      </c>
      <c r="I110" s="469">
        <v>1.7500000000000002E-2</v>
      </c>
      <c r="J110" s="470">
        <v>1.7500000000000002E-2</v>
      </c>
    </row>
    <row r="111" spans="2:10" x14ac:dyDescent="0.25">
      <c r="B111" s="646">
        <v>2054</v>
      </c>
      <c r="C111" s="647">
        <f t="shared" si="10"/>
        <v>1.8448534932406162</v>
      </c>
      <c r="D111" s="648">
        <f t="shared" si="10"/>
        <v>1.8448534932406162</v>
      </c>
      <c r="E111" s="648">
        <f t="shared" si="10"/>
        <v>1.8448534932406162</v>
      </c>
      <c r="F111" s="649">
        <f t="shared" si="10"/>
        <v>1.8448534932406162</v>
      </c>
      <c r="G111" s="468">
        <v>1.7500000000000002E-2</v>
      </c>
      <c r="H111" s="469">
        <v>1.7500000000000002E-2</v>
      </c>
      <c r="I111" s="469">
        <v>1.7500000000000002E-2</v>
      </c>
      <c r="J111" s="470">
        <v>1.7500000000000002E-2</v>
      </c>
    </row>
    <row r="112" spans="2:10" x14ac:dyDescent="0.25">
      <c r="B112" s="646">
        <v>2055</v>
      </c>
      <c r="C112" s="647">
        <f t="shared" si="10"/>
        <v>1.8771384293723272</v>
      </c>
      <c r="D112" s="648">
        <f t="shared" si="10"/>
        <v>1.8771384293723272</v>
      </c>
      <c r="E112" s="648">
        <f t="shared" si="10"/>
        <v>1.8771384293723272</v>
      </c>
      <c r="F112" s="649">
        <f t="shared" si="10"/>
        <v>1.8771384293723272</v>
      </c>
      <c r="G112" s="468">
        <v>1.7500000000000002E-2</v>
      </c>
      <c r="H112" s="469">
        <v>1.7500000000000002E-2</v>
      </c>
      <c r="I112" s="469">
        <v>1.7500000000000002E-2</v>
      </c>
      <c r="J112" s="470">
        <v>1.7500000000000002E-2</v>
      </c>
    </row>
    <row r="113" spans="2:10" x14ac:dyDescent="0.25">
      <c r="B113" s="646">
        <v>2056</v>
      </c>
      <c r="C113" s="647">
        <f t="shared" si="10"/>
        <v>1.909988351886343</v>
      </c>
      <c r="D113" s="648">
        <f t="shared" si="10"/>
        <v>1.909988351886343</v>
      </c>
      <c r="E113" s="648">
        <f t="shared" si="10"/>
        <v>1.909988351886343</v>
      </c>
      <c r="F113" s="649">
        <f t="shared" si="10"/>
        <v>1.909988351886343</v>
      </c>
      <c r="G113" s="468">
        <v>1.7500000000000002E-2</v>
      </c>
      <c r="H113" s="469">
        <v>1.7500000000000002E-2</v>
      </c>
      <c r="I113" s="469">
        <v>1.7500000000000002E-2</v>
      </c>
      <c r="J113" s="470">
        <v>1.7500000000000002E-2</v>
      </c>
    </row>
    <row r="114" spans="2:10" x14ac:dyDescent="0.25">
      <c r="B114" s="646">
        <v>2057</v>
      </c>
      <c r="C114" s="647">
        <f t="shared" si="10"/>
        <v>1.9434131480443542</v>
      </c>
      <c r="D114" s="648">
        <f t="shared" si="10"/>
        <v>1.9434131480443542</v>
      </c>
      <c r="E114" s="648">
        <f t="shared" si="10"/>
        <v>1.9434131480443542</v>
      </c>
      <c r="F114" s="649">
        <f t="shared" si="10"/>
        <v>1.9434131480443542</v>
      </c>
      <c r="G114" s="468">
        <v>1.7500000000000002E-2</v>
      </c>
      <c r="H114" s="469">
        <v>1.7500000000000002E-2</v>
      </c>
      <c r="I114" s="469">
        <v>1.7500000000000002E-2</v>
      </c>
      <c r="J114" s="470">
        <v>1.7500000000000002E-2</v>
      </c>
    </row>
    <row r="115" spans="2:10" x14ac:dyDescent="0.25">
      <c r="B115" s="646">
        <v>2058</v>
      </c>
      <c r="C115" s="647">
        <f t="shared" si="10"/>
        <v>1.9774228781351304</v>
      </c>
      <c r="D115" s="648">
        <f t="shared" si="10"/>
        <v>1.9774228781351304</v>
      </c>
      <c r="E115" s="648">
        <f t="shared" si="10"/>
        <v>1.9774228781351304</v>
      </c>
      <c r="F115" s="649">
        <f t="shared" si="10"/>
        <v>1.9774228781351304</v>
      </c>
      <c r="G115" s="468">
        <v>1.7500000000000002E-2</v>
      </c>
      <c r="H115" s="469">
        <v>1.7500000000000002E-2</v>
      </c>
      <c r="I115" s="469">
        <v>1.7500000000000002E-2</v>
      </c>
      <c r="J115" s="470">
        <v>1.7500000000000002E-2</v>
      </c>
    </row>
    <row r="116" spans="2:10" x14ac:dyDescent="0.25">
      <c r="B116" s="646">
        <v>2059</v>
      </c>
      <c r="C116" s="647">
        <f t="shared" si="10"/>
        <v>2.0120277785024951</v>
      </c>
      <c r="D116" s="648">
        <f t="shared" si="10"/>
        <v>2.0120277785024951</v>
      </c>
      <c r="E116" s="648">
        <f t="shared" si="10"/>
        <v>2.0120277785024951</v>
      </c>
      <c r="F116" s="649">
        <f t="shared" si="10"/>
        <v>2.0120277785024951</v>
      </c>
      <c r="G116" s="468">
        <v>1.7500000000000002E-2</v>
      </c>
      <c r="H116" s="469">
        <v>1.7500000000000002E-2</v>
      </c>
      <c r="I116" s="469">
        <v>1.7500000000000002E-2</v>
      </c>
      <c r="J116" s="470">
        <v>1.7500000000000002E-2</v>
      </c>
    </row>
    <row r="117" spans="2:10" x14ac:dyDescent="0.25">
      <c r="B117" s="646">
        <v>2060</v>
      </c>
      <c r="C117" s="647">
        <f t="shared" si="10"/>
        <v>2.047238264626289</v>
      </c>
      <c r="D117" s="648">
        <f t="shared" si="10"/>
        <v>2.047238264626289</v>
      </c>
      <c r="E117" s="648">
        <f t="shared" si="10"/>
        <v>2.047238264626289</v>
      </c>
      <c r="F117" s="649">
        <f t="shared" si="10"/>
        <v>2.047238264626289</v>
      </c>
      <c r="G117" s="468">
        <v>1.7500000000000002E-2</v>
      </c>
      <c r="H117" s="469">
        <v>1.7500000000000002E-2</v>
      </c>
      <c r="I117" s="469">
        <v>1.7500000000000002E-2</v>
      </c>
      <c r="J117" s="470">
        <v>1.7500000000000002E-2</v>
      </c>
    </row>
    <row r="118" spans="2:10" x14ac:dyDescent="0.25">
      <c r="B118" s="646">
        <f>B117+1</f>
        <v>2061</v>
      </c>
      <c r="C118" s="647">
        <f t="shared" si="10"/>
        <v>2.0830649342572491</v>
      </c>
      <c r="D118" s="648">
        <f t="shared" si="10"/>
        <v>2.0830649342572491</v>
      </c>
      <c r="E118" s="648">
        <f t="shared" si="10"/>
        <v>2.0830649342572491</v>
      </c>
      <c r="F118" s="649">
        <f t="shared" si="10"/>
        <v>2.0830649342572491</v>
      </c>
      <c r="G118" s="468">
        <v>1.7500000000000002E-2</v>
      </c>
      <c r="H118" s="469">
        <v>1.7500000000000002E-2</v>
      </c>
      <c r="I118" s="469">
        <v>1.7500000000000002E-2</v>
      </c>
      <c r="J118" s="470">
        <v>1.7500000000000002E-2</v>
      </c>
    </row>
    <row r="119" spans="2:10" x14ac:dyDescent="0.25">
      <c r="B119" s="646">
        <f t="shared" ref="B119:B127" si="11">B118+1</f>
        <v>2062</v>
      </c>
      <c r="C119" s="647">
        <f t="shared" si="10"/>
        <v>2.119518570606751</v>
      </c>
      <c r="D119" s="648">
        <f t="shared" si="10"/>
        <v>2.119518570606751</v>
      </c>
      <c r="E119" s="648">
        <f t="shared" si="10"/>
        <v>2.119518570606751</v>
      </c>
      <c r="F119" s="649">
        <f t="shared" si="10"/>
        <v>2.119518570606751</v>
      </c>
      <c r="G119" s="468">
        <v>1.7500000000000002E-2</v>
      </c>
      <c r="H119" s="469">
        <v>1.7500000000000002E-2</v>
      </c>
      <c r="I119" s="469">
        <v>1.7500000000000002E-2</v>
      </c>
      <c r="J119" s="470">
        <v>1.7500000000000002E-2</v>
      </c>
    </row>
    <row r="120" spans="2:10" x14ac:dyDescent="0.25">
      <c r="B120" s="646">
        <f t="shared" si="11"/>
        <v>2063</v>
      </c>
      <c r="C120" s="647">
        <f t="shared" si="10"/>
        <v>2.1566101455923694</v>
      </c>
      <c r="D120" s="648">
        <f t="shared" si="10"/>
        <v>2.1566101455923694</v>
      </c>
      <c r="E120" s="648">
        <f t="shared" si="10"/>
        <v>2.1566101455923694</v>
      </c>
      <c r="F120" s="649">
        <f t="shared" si="10"/>
        <v>2.1566101455923694</v>
      </c>
      <c r="G120" s="468">
        <v>1.7500000000000002E-2</v>
      </c>
      <c r="H120" s="469">
        <v>1.7500000000000002E-2</v>
      </c>
      <c r="I120" s="469">
        <v>1.7500000000000002E-2</v>
      </c>
      <c r="J120" s="470">
        <v>1.7500000000000002E-2</v>
      </c>
    </row>
    <row r="121" spans="2:10" x14ac:dyDescent="0.25">
      <c r="B121" s="646">
        <f t="shared" si="11"/>
        <v>2064</v>
      </c>
      <c r="C121" s="647">
        <f t="shared" si="10"/>
        <v>2.194350823140236</v>
      </c>
      <c r="D121" s="648">
        <f t="shared" si="10"/>
        <v>2.194350823140236</v>
      </c>
      <c r="E121" s="648">
        <f t="shared" si="10"/>
        <v>2.194350823140236</v>
      </c>
      <c r="F121" s="649">
        <f t="shared" si="10"/>
        <v>2.194350823140236</v>
      </c>
      <c r="G121" s="468">
        <v>1.7500000000000002E-2</v>
      </c>
      <c r="H121" s="469">
        <v>1.7500000000000002E-2</v>
      </c>
      <c r="I121" s="469">
        <v>1.7500000000000002E-2</v>
      </c>
      <c r="J121" s="470">
        <v>1.7500000000000002E-2</v>
      </c>
    </row>
    <row r="122" spans="2:10" x14ac:dyDescent="0.25">
      <c r="B122" s="646">
        <f t="shared" si="11"/>
        <v>2065</v>
      </c>
      <c r="C122" s="647">
        <f t="shared" si="10"/>
        <v>2.2327519625451901</v>
      </c>
      <c r="D122" s="648">
        <f t="shared" si="10"/>
        <v>2.2327519625451901</v>
      </c>
      <c r="E122" s="648">
        <f t="shared" si="10"/>
        <v>2.2327519625451901</v>
      </c>
      <c r="F122" s="649">
        <f t="shared" si="10"/>
        <v>2.2327519625451901</v>
      </c>
      <c r="G122" s="468">
        <v>1.7500000000000002E-2</v>
      </c>
      <c r="H122" s="469">
        <v>1.7500000000000002E-2</v>
      </c>
      <c r="I122" s="469">
        <v>1.7500000000000002E-2</v>
      </c>
      <c r="J122" s="470">
        <v>1.7500000000000002E-2</v>
      </c>
    </row>
    <row r="123" spans="2:10" x14ac:dyDescent="0.25">
      <c r="B123" s="646">
        <f t="shared" si="11"/>
        <v>2066</v>
      </c>
      <c r="C123" s="647">
        <f t="shared" si="10"/>
        <v>2.271825121889731</v>
      </c>
      <c r="D123" s="648">
        <f t="shared" si="10"/>
        <v>2.271825121889731</v>
      </c>
      <c r="E123" s="648">
        <f t="shared" si="10"/>
        <v>2.271825121889731</v>
      </c>
      <c r="F123" s="649">
        <f t="shared" si="10"/>
        <v>2.271825121889731</v>
      </c>
      <c r="G123" s="468">
        <v>1.7500000000000002E-2</v>
      </c>
      <c r="H123" s="469">
        <v>1.7500000000000002E-2</v>
      </c>
      <c r="I123" s="469">
        <v>1.7500000000000002E-2</v>
      </c>
      <c r="J123" s="470">
        <v>1.7500000000000002E-2</v>
      </c>
    </row>
    <row r="124" spans="2:10" x14ac:dyDescent="0.25">
      <c r="B124" s="646">
        <f t="shared" si="11"/>
        <v>2067</v>
      </c>
      <c r="C124" s="647">
        <f t="shared" si="10"/>
        <v>2.3115820615228015</v>
      </c>
      <c r="D124" s="648">
        <f t="shared" si="10"/>
        <v>2.3115820615228015</v>
      </c>
      <c r="E124" s="648">
        <f t="shared" si="10"/>
        <v>2.3115820615228015</v>
      </c>
      <c r="F124" s="649">
        <f t="shared" si="10"/>
        <v>2.3115820615228015</v>
      </c>
      <c r="G124" s="468">
        <v>1.7500000000000002E-2</v>
      </c>
      <c r="H124" s="469">
        <v>1.7500000000000002E-2</v>
      </c>
      <c r="I124" s="469">
        <v>1.7500000000000002E-2</v>
      </c>
      <c r="J124" s="470">
        <v>1.7500000000000002E-2</v>
      </c>
    </row>
    <row r="125" spans="2:10" x14ac:dyDescent="0.25">
      <c r="B125" s="646">
        <f t="shared" si="11"/>
        <v>2068</v>
      </c>
      <c r="C125" s="647">
        <f t="shared" ref="C125:F127" si="12">C124*(1+G125)</f>
        <v>2.3520347475994505</v>
      </c>
      <c r="D125" s="648">
        <f t="shared" si="12"/>
        <v>2.3520347475994505</v>
      </c>
      <c r="E125" s="648">
        <f t="shared" si="12"/>
        <v>2.3520347475994505</v>
      </c>
      <c r="F125" s="649">
        <f t="shared" si="12"/>
        <v>2.3520347475994505</v>
      </c>
      <c r="G125" s="468">
        <v>1.7500000000000002E-2</v>
      </c>
      <c r="H125" s="469">
        <v>1.7500000000000002E-2</v>
      </c>
      <c r="I125" s="469">
        <v>1.7500000000000002E-2</v>
      </c>
      <c r="J125" s="470">
        <v>1.7500000000000002E-2</v>
      </c>
    </row>
    <row r="126" spans="2:10" x14ac:dyDescent="0.25">
      <c r="B126" s="646">
        <f t="shared" si="11"/>
        <v>2069</v>
      </c>
      <c r="C126" s="647">
        <f t="shared" si="12"/>
        <v>2.3931953556824412</v>
      </c>
      <c r="D126" s="648">
        <f t="shared" si="12"/>
        <v>2.3931953556824412</v>
      </c>
      <c r="E126" s="648">
        <f t="shared" si="12"/>
        <v>2.3931953556824412</v>
      </c>
      <c r="F126" s="649">
        <f t="shared" si="12"/>
        <v>2.3931953556824412</v>
      </c>
      <c r="G126" s="468">
        <v>1.7500000000000002E-2</v>
      </c>
      <c r="H126" s="469">
        <v>1.7500000000000002E-2</v>
      </c>
      <c r="I126" s="469">
        <v>1.7500000000000002E-2</v>
      </c>
      <c r="J126" s="470">
        <v>1.7500000000000002E-2</v>
      </c>
    </row>
    <row r="127" spans="2:10" ht="15.75" thickBot="1" x14ac:dyDescent="0.3">
      <c r="B127" s="650">
        <f t="shared" si="11"/>
        <v>2070</v>
      </c>
      <c r="C127" s="651">
        <f t="shared" si="12"/>
        <v>2.4350762744068843</v>
      </c>
      <c r="D127" s="652">
        <f t="shared" si="12"/>
        <v>2.4350762744068843</v>
      </c>
      <c r="E127" s="652">
        <f t="shared" si="12"/>
        <v>2.4350762744068843</v>
      </c>
      <c r="F127" s="653">
        <f t="shared" si="12"/>
        <v>2.4350762744068843</v>
      </c>
      <c r="G127" s="471">
        <v>1.7500000000000002E-2</v>
      </c>
      <c r="H127" s="472">
        <v>1.7500000000000002E-2</v>
      </c>
      <c r="I127" s="472">
        <v>1.7500000000000002E-2</v>
      </c>
      <c r="J127" s="473">
        <v>1.7500000000000002E-2</v>
      </c>
    </row>
  </sheetData>
  <mergeCells count="3">
    <mergeCell ref="B4:B5"/>
    <mergeCell ref="C4:F4"/>
    <mergeCell ref="G4:J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W79"/>
  <sheetViews>
    <sheetView workbookViewId="0">
      <selection activeCell="I5" sqref="I5"/>
    </sheetView>
  </sheetViews>
  <sheetFormatPr baseColWidth="10" defaultRowHeight="15" x14ac:dyDescent="0.25"/>
  <cols>
    <col min="1" max="1" width="7.140625" style="45" customWidth="1"/>
    <col min="2" max="2" width="56.42578125" style="45" customWidth="1"/>
    <col min="3" max="3" width="1.85546875" style="45" customWidth="1"/>
    <col min="4" max="4" width="17.7109375" style="45" customWidth="1"/>
    <col min="5" max="5" width="4.140625" style="45" customWidth="1"/>
    <col min="6" max="6" width="56.42578125" style="45" customWidth="1"/>
    <col min="7" max="7" width="1.85546875" style="45" customWidth="1"/>
    <col min="8" max="8" width="17.7109375" style="45" customWidth="1"/>
    <col min="9" max="16384" width="11.42578125" style="45"/>
  </cols>
  <sheetData>
    <row r="1" spans="1:23" s="365" customFormat="1" ht="21" x14ac:dyDescent="0.25">
      <c r="A1" s="363"/>
      <c r="B1" s="758" t="s">
        <v>131</v>
      </c>
      <c r="C1" s="758"/>
      <c r="D1" s="758"/>
      <c r="E1" s="364"/>
      <c r="F1" s="758" t="s">
        <v>132</v>
      </c>
      <c r="G1" s="758"/>
      <c r="H1" s="758"/>
    </row>
    <row r="3" spans="1:23" ht="18.75" x14ac:dyDescent="0.3">
      <c r="A3" s="113"/>
      <c r="B3" s="211" t="s">
        <v>168</v>
      </c>
      <c r="C3" s="211"/>
      <c r="D3" s="211"/>
      <c r="E3" s="167"/>
      <c r="F3" s="211" t="s">
        <v>401</v>
      </c>
      <c r="G3" s="211"/>
      <c r="H3" s="211"/>
      <c r="K3" s="296"/>
      <c r="L3" s="296"/>
      <c r="M3" s="296"/>
      <c r="N3" s="294"/>
      <c r="O3" s="296"/>
      <c r="P3" s="296"/>
      <c r="Q3" s="296"/>
      <c r="R3" s="296"/>
      <c r="S3" s="296"/>
      <c r="T3" s="296"/>
      <c r="U3" s="296"/>
      <c r="V3" s="294"/>
    </row>
    <row r="4" spans="1:23" s="103" customFormat="1" ht="15.75" thickBot="1" x14ac:dyDescent="0.3">
      <c r="A4" s="113"/>
      <c r="B4" s="45"/>
      <c r="C4" s="45"/>
      <c r="D4" s="45"/>
      <c r="E4" s="45"/>
      <c r="F4" s="45"/>
      <c r="G4" s="45"/>
      <c r="H4" s="45"/>
    </row>
    <row r="5" spans="1:23" s="103" customFormat="1" ht="14.25" customHeight="1" thickBot="1" x14ac:dyDescent="0.3">
      <c r="A5" s="113"/>
      <c r="B5" s="210" t="s">
        <v>107</v>
      </c>
      <c r="C5" s="45"/>
      <c r="D5" s="259">
        <f ca="1">TRI_prix!$C$11</f>
        <v>1.5921303651225571E-2</v>
      </c>
      <c r="E5" s="45"/>
      <c r="F5" s="210" t="s">
        <v>107</v>
      </c>
      <c r="G5" s="45"/>
      <c r="H5" s="259">
        <f ca="1">TRI_smpt!$C$11</f>
        <v>2.9217985389287104E-3</v>
      </c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</row>
    <row r="6" spans="1:23" s="103" customFormat="1" ht="14.25" customHeight="1" x14ac:dyDescent="0.25">
      <c r="A6" s="113"/>
      <c r="B6" s="213" t="s">
        <v>164</v>
      </c>
      <c r="C6" s="205"/>
      <c r="D6" s="260">
        <f ca="1">TRI_prix!$F$11</f>
        <v>2.1937780036106247E-2</v>
      </c>
      <c r="E6" s="45"/>
      <c r="F6" s="213" t="s">
        <v>164</v>
      </c>
      <c r="G6" s="205"/>
      <c r="H6" s="260">
        <f ca="1">TRI_smpt!$F$11</f>
        <v>8.8652522324490501E-3</v>
      </c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</row>
    <row r="7" spans="1:23" s="103" customFormat="1" ht="14.25" customHeight="1" thickBot="1" x14ac:dyDescent="0.3">
      <c r="A7" s="113"/>
      <c r="B7" s="214" t="s">
        <v>165</v>
      </c>
      <c r="C7" s="205"/>
      <c r="D7" s="261">
        <f ca="1">TRI_prix!$I$11</f>
        <v>1.1634813406378175E-3</v>
      </c>
      <c r="E7" s="45"/>
      <c r="F7" s="214" t="s">
        <v>165</v>
      </c>
      <c r="G7" s="205"/>
      <c r="H7" s="261">
        <f ca="1">TRI_smpt!$I$11</f>
        <v>-1.1655873107736414E-2</v>
      </c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</row>
    <row r="8" spans="1:23" ht="15.75" thickBot="1" x14ac:dyDescent="0.3">
      <c r="A8" s="113"/>
      <c r="B8" s="210" t="s">
        <v>108</v>
      </c>
      <c r="D8" s="259">
        <f ca="1">TRI_prix!$B$11</f>
        <v>1.9010103082353957E-2</v>
      </c>
      <c r="F8" s="210" t="s">
        <v>108</v>
      </c>
      <c r="H8" s="259">
        <f ca="1">TRI_smpt!$B$11</f>
        <v>5.9730092216416786E-3</v>
      </c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</row>
    <row r="9" spans="1:23" s="103" customFormat="1" ht="14.25" customHeight="1" x14ac:dyDescent="0.25">
      <c r="A9" s="113"/>
      <c r="B9" s="213" t="s">
        <v>164</v>
      </c>
      <c r="C9" s="205"/>
      <c r="D9" s="260">
        <f>TRI_prix!$E$11</f>
        <v>2.4931994606934182E-2</v>
      </c>
      <c r="E9" s="45"/>
      <c r="F9" s="213" t="s">
        <v>164</v>
      </c>
      <c r="G9" s="205"/>
      <c r="H9" s="260">
        <f>TRI_smpt!$E$11</f>
        <v>1.1823138837258496E-2</v>
      </c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</row>
    <row r="10" spans="1:23" s="103" customFormat="1" ht="14.25" customHeight="1" thickBot="1" x14ac:dyDescent="0.3">
      <c r="A10" s="113"/>
      <c r="B10" s="214" t="s">
        <v>165</v>
      </c>
      <c r="C10" s="205"/>
      <c r="D10" s="261">
        <f ca="1">TRI_prix!$H$11</f>
        <v>4.5579200761911576E-3</v>
      </c>
      <c r="E10" s="45"/>
      <c r="F10" s="214" t="s">
        <v>165</v>
      </c>
      <c r="G10" s="205"/>
      <c r="H10" s="261">
        <f ca="1">TRI_smpt!$H$11</f>
        <v>-8.3030695290363665E-3</v>
      </c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</row>
    <row r="11" spans="1:23" s="103" customFormat="1" ht="14.25" customHeight="1" x14ac:dyDescent="0.25">
      <c r="A11" s="113"/>
      <c r="B11" s="206"/>
      <c r="C11" s="205"/>
      <c r="D11" s="207"/>
      <c r="E11" s="45"/>
      <c r="F11" s="113"/>
      <c r="G11" s="45"/>
    </row>
    <row r="12" spans="1:23" s="103" customFormat="1" ht="14.25" customHeight="1" x14ac:dyDescent="0.25">
      <c r="A12" s="113"/>
      <c r="B12" s="206"/>
      <c r="C12" s="205"/>
      <c r="D12" s="207"/>
      <c r="E12" s="45"/>
      <c r="F12" s="113"/>
      <c r="G12" s="45"/>
    </row>
    <row r="13" spans="1:23" s="103" customFormat="1" ht="18.75" x14ac:dyDescent="0.3">
      <c r="A13" s="113"/>
      <c r="B13" s="211" t="s">
        <v>399</v>
      </c>
      <c r="C13" s="211"/>
      <c r="D13" s="266"/>
      <c r="E13" s="167"/>
      <c r="F13" s="211" t="s">
        <v>399</v>
      </c>
      <c r="G13" s="211"/>
      <c r="H13" s="266"/>
    </row>
    <row r="14" spans="1:23" s="103" customFormat="1" ht="9" customHeight="1" x14ac:dyDescent="0.3">
      <c r="A14" s="113"/>
      <c r="B14" s="167"/>
      <c r="C14" s="167"/>
      <c r="D14" s="167"/>
      <c r="E14" s="167"/>
      <c r="F14" s="113"/>
      <c r="G14" s="167"/>
    </row>
    <row r="15" spans="1:23" ht="15.75" thickBot="1" x14ac:dyDescent="0.3"/>
    <row r="16" spans="1:23" s="103" customFormat="1" ht="15.75" thickBot="1" x14ac:dyDescent="0.3">
      <c r="A16" s="113"/>
      <c r="B16" s="107" t="s">
        <v>129</v>
      </c>
      <c r="C16" s="44"/>
      <c r="D16" s="108">
        <f ca="1">TRecup_prix!$F$13</f>
        <v>1.64781345669218</v>
      </c>
      <c r="E16" s="44"/>
      <c r="F16" s="107" t="s">
        <v>166</v>
      </c>
      <c r="G16" s="44"/>
      <c r="H16" s="108">
        <f ca="1">TRecup_smpt!$F$13</f>
        <v>1.0979617459846842</v>
      </c>
    </row>
    <row r="17" spans="1:9" x14ac:dyDescent="0.25">
      <c r="A17" s="113"/>
      <c r="B17" s="208" t="s">
        <v>164</v>
      </c>
      <c r="C17" s="205"/>
      <c r="D17" s="262">
        <f ca="1">TRecup_prix!$J$13</f>
        <v>1.992556276143844</v>
      </c>
      <c r="E17" s="44"/>
      <c r="F17" s="208" t="s">
        <v>164</v>
      </c>
      <c r="G17" s="205"/>
      <c r="H17" s="262">
        <f ca="1">TRecup_smpt!$J$13</f>
        <v>1.3285202170008226</v>
      </c>
      <c r="I17" s="103"/>
    </row>
    <row r="18" spans="1:9" ht="15.75" thickBot="1" x14ac:dyDescent="0.3">
      <c r="A18" s="113"/>
      <c r="B18" s="209" t="s">
        <v>165</v>
      </c>
      <c r="C18" s="205"/>
      <c r="D18" s="263">
        <f ca="1">TRecup_prix!$N$13</f>
        <v>1.0370751142319232</v>
      </c>
      <c r="E18" s="109"/>
      <c r="F18" s="209" t="s">
        <v>165</v>
      </c>
      <c r="G18" s="205"/>
      <c r="H18" s="263">
        <f ca="1">TRecup_smpt!$N$13</f>
        <v>0.68944966758423576</v>
      </c>
      <c r="I18" s="103"/>
    </row>
    <row r="19" spans="1:9" ht="15.75" thickBot="1" x14ac:dyDescent="0.3">
      <c r="A19" s="113"/>
      <c r="B19" s="109"/>
      <c r="C19" s="109"/>
      <c r="D19" s="264"/>
      <c r="E19" s="109"/>
      <c r="F19" s="109"/>
      <c r="G19" s="109"/>
      <c r="H19" s="264"/>
      <c r="I19" s="103"/>
    </row>
    <row r="20" spans="1:9" ht="15.75" thickBot="1" x14ac:dyDescent="0.3">
      <c r="A20" s="113"/>
      <c r="B20" s="107" t="s">
        <v>127</v>
      </c>
      <c r="C20" s="44"/>
      <c r="D20" s="108">
        <f ca="1">TRecup_prix!$E$17</f>
        <v>0.4466979176743297</v>
      </c>
      <c r="E20" s="44"/>
      <c r="F20" s="107" t="s">
        <v>167</v>
      </c>
      <c r="G20" s="44"/>
      <c r="H20" s="108">
        <f ca="1">TRecup_smpt!$E$17</f>
        <v>0.29541095284890168</v>
      </c>
      <c r="I20" s="103"/>
    </row>
    <row r="21" spans="1:9" x14ac:dyDescent="0.25">
      <c r="A21" s="113"/>
      <c r="B21" s="208" t="s">
        <v>164</v>
      </c>
      <c r="C21" s="205"/>
      <c r="D21" s="262">
        <f ca="1">TRecup_prix!$I$17</f>
        <v>0.34526259946175231</v>
      </c>
      <c r="E21" s="44"/>
      <c r="F21" s="208" t="s">
        <v>164</v>
      </c>
      <c r="G21" s="205"/>
      <c r="H21" s="262">
        <f ca="1">TRecup_smpt!$I$17</f>
        <v>0.22848813331054582</v>
      </c>
      <c r="I21" s="103"/>
    </row>
    <row r="22" spans="1:9" ht="15.75" thickBot="1" x14ac:dyDescent="0.3">
      <c r="A22" s="113"/>
      <c r="B22" s="209" t="s">
        <v>165</v>
      </c>
      <c r="C22" s="205"/>
      <c r="D22" s="263">
        <f ca="1">TRecup_prix!$M$17</f>
        <v>0.10143531821257736</v>
      </c>
      <c r="E22" s="44"/>
      <c r="F22" s="209" t="s">
        <v>165</v>
      </c>
      <c r="G22" s="205"/>
      <c r="H22" s="263">
        <f ca="1">TRecup_smpt!$M$17</f>
        <v>6.6922819538355827E-2</v>
      </c>
      <c r="I22" s="103"/>
    </row>
    <row r="23" spans="1:9" ht="15.75" thickBot="1" x14ac:dyDescent="0.3">
      <c r="A23" s="113"/>
      <c r="B23" s="44"/>
      <c r="C23" s="44"/>
      <c r="D23" s="265"/>
      <c r="E23" s="44"/>
      <c r="F23" s="44"/>
      <c r="G23" s="44"/>
      <c r="H23" s="265"/>
      <c r="I23" s="103"/>
    </row>
    <row r="24" spans="1:9" ht="15.75" thickBot="1" x14ac:dyDescent="0.3">
      <c r="B24" s="107" t="s">
        <v>175</v>
      </c>
      <c r="C24" s="44"/>
      <c r="D24" s="108">
        <f>TRecup_prix!$F$17</f>
        <v>0.27108524685253566</v>
      </c>
      <c r="E24" s="44"/>
      <c r="F24" s="107" t="s">
        <v>176</v>
      </c>
      <c r="G24" s="44"/>
      <c r="H24" s="108">
        <f>TRecup_smpt!$F$17</f>
        <v>0.269053957416311</v>
      </c>
      <c r="I24" s="103"/>
    </row>
    <row r="25" spans="1:9" x14ac:dyDescent="0.25">
      <c r="B25" s="208" t="s">
        <v>164</v>
      </c>
      <c r="C25" s="205"/>
      <c r="D25" s="262">
        <f>TRecup_prix!$J$17</f>
        <v>0.17327620985939349</v>
      </c>
      <c r="E25" s="44"/>
      <c r="F25" s="208" t="s">
        <v>164</v>
      </c>
      <c r="G25" s="205"/>
      <c r="H25" s="262">
        <f>TRecup_smpt!$J$17</f>
        <v>0.17198694486288299</v>
      </c>
      <c r="I25" s="103"/>
    </row>
    <row r="26" spans="1:9" ht="15.75" thickBot="1" x14ac:dyDescent="0.3">
      <c r="B26" s="209" t="s">
        <v>165</v>
      </c>
      <c r="C26" s="205"/>
      <c r="D26" s="263">
        <f>TRecup_prix!$N$17</f>
        <v>9.7809036993142209E-2</v>
      </c>
      <c r="E26" s="44"/>
      <c r="F26" s="209" t="s">
        <v>165</v>
      </c>
      <c r="G26" s="205"/>
      <c r="H26" s="263">
        <f>TRecup_smpt!$N$17</f>
        <v>9.7067012553428075E-2</v>
      </c>
      <c r="I26" s="103"/>
    </row>
    <row r="27" spans="1:9" x14ac:dyDescent="0.25">
      <c r="B27" s="111"/>
      <c r="C27" s="44"/>
      <c r="D27" s="112"/>
      <c r="E27" s="44"/>
      <c r="I27" s="103"/>
    </row>
    <row r="28" spans="1:9" x14ac:dyDescent="0.25">
      <c r="B28" s="111"/>
      <c r="C28" s="44"/>
      <c r="D28" s="112"/>
      <c r="E28" s="44"/>
      <c r="I28" s="103"/>
    </row>
    <row r="29" spans="1:9" ht="18.75" x14ac:dyDescent="0.3">
      <c r="B29" s="211" t="s">
        <v>169</v>
      </c>
      <c r="C29" s="211"/>
      <c r="D29" s="266"/>
      <c r="E29" s="44"/>
      <c r="F29" s="211" t="s">
        <v>169</v>
      </c>
      <c r="G29" s="211"/>
      <c r="H29" s="266"/>
      <c r="I29" s="103"/>
    </row>
    <row r="30" spans="1:9" ht="19.5" thickBot="1" x14ac:dyDescent="0.35">
      <c r="B30" s="167"/>
      <c r="C30" s="167"/>
      <c r="D30" s="267"/>
      <c r="E30" s="44"/>
      <c r="G30" s="44"/>
      <c r="I30" s="103"/>
    </row>
    <row r="31" spans="1:9" ht="15.75" thickBot="1" x14ac:dyDescent="0.3">
      <c r="B31" s="107" t="s">
        <v>130</v>
      </c>
      <c r="C31" s="44"/>
      <c r="D31" s="108">
        <f ca="1">TRecup_prix!$F$12</f>
        <v>1.8173549649900627</v>
      </c>
      <c r="E31" s="44"/>
      <c r="F31" s="107" t="s">
        <v>170</v>
      </c>
      <c r="G31" s="44"/>
      <c r="H31" s="108">
        <f ca="1">TRecup_smpt!$F$12</f>
        <v>1.210922474518902</v>
      </c>
      <c r="I31" s="103"/>
    </row>
    <row r="32" spans="1:9" x14ac:dyDescent="0.25">
      <c r="B32" s="208" t="s">
        <v>164</v>
      </c>
      <c r="C32" s="205"/>
      <c r="D32" s="262">
        <f>TRecup_prix!$J$12</f>
        <v>2.1920311068689147</v>
      </c>
      <c r="E32" s="44"/>
      <c r="F32" s="208" t="s">
        <v>164</v>
      </c>
      <c r="G32" s="205"/>
      <c r="H32" s="262">
        <f>TRecup_smpt!$J$12</f>
        <v>1.4615183905399594</v>
      </c>
      <c r="I32" s="103"/>
    </row>
    <row r="33" spans="1:23" ht="15.75" thickBot="1" x14ac:dyDescent="0.3">
      <c r="B33" s="209" t="s">
        <v>165</v>
      </c>
      <c r="C33" s="205"/>
      <c r="D33" s="263">
        <f ca="1">TRecup_prix!$N$12</f>
        <v>1.1535874463091467</v>
      </c>
      <c r="E33" s="44"/>
      <c r="F33" s="209" t="s">
        <v>165</v>
      </c>
      <c r="G33" s="205"/>
      <c r="H33" s="263">
        <f ca="1">TRecup_smpt!$N$12</f>
        <v>0.76690730543296526</v>
      </c>
      <c r="I33" s="103"/>
    </row>
    <row r="34" spans="1:23" ht="15.75" thickBot="1" x14ac:dyDescent="0.3">
      <c r="B34" s="109"/>
      <c r="C34" s="109"/>
      <c r="D34" s="264"/>
      <c r="E34" s="44"/>
      <c r="F34" s="109"/>
      <c r="G34" s="109"/>
      <c r="H34" s="264"/>
      <c r="I34" s="103"/>
    </row>
    <row r="35" spans="1:23" ht="15.75" thickBot="1" x14ac:dyDescent="0.3">
      <c r="B35" s="107" t="s">
        <v>128</v>
      </c>
      <c r="C35" s="44"/>
      <c r="D35" s="108">
        <f ca="1">TRecup_prix!$D$17</f>
        <v>0.49265811930301245</v>
      </c>
      <c r="E35" s="44"/>
      <c r="F35" s="107" t="s">
        <v>171</v>
      </c>
      <c r="G35" s="44"/>
      <c r="H35" s="108">
        <f ca="1">TRecup_smpt!$D$17</f>
        <v>0.32580348389366259</v>
      </c>
      <c r="I35" s="103"/>
    </row>
    <row r="36" spans="1:23" x14ac:dyDescent="0.25">
      <c r="B36" s="208" t="s">
        <v>164</v>
      </c>
      <c r="C36" s="205"/>
      <c r="D36" s="262">
        <f>TRecup_prix!$H$17</f>
        <v>0.37982684209213669</v>
      </c>
      <c r="E36" s="44"/>
      <c r="F36" s="208" t="s">
        <v>164</v>
      </c>
      <c r="G36" s="205"/>
      <c r="H36" s="262">
        <f>TRecup_smpt!$H$17</f>
        <v>0.25136208284988548</v>
      </c>
      <c r="I36" s="103"/>
    </row>
    <row r="37" spans="1:23" ht="15.75" thickBot="1" x14ac:dyDescent="0.3">
      <c r="B37" s="209" t="s">
        <v>165</v>
      </c>
      <c r="C37" s="205"/>
      <c r="D37" s="263">
        <f ca="1">TRecup_prix!$L$17</f>
        <v>0.11283127721087577</v>
      </c>
      <c r="E37" s="44"/>
      <c r="F37" s="209" t="s">
        <v>165</v>
      </c>
      <c r="G37" s="205"/>
      <c r="H37" s="263">
        <f ca="1">TRecup_smpt!$L$17</f>
        <v>7.4441401043777333E-2</v>
      </c>
      <c r="I37" s="103"/>
    </row>
    <row r="38" spans="1:23" ht="15.75" thickBot="1" x14ac:dyDescent="0.3">
      <c r="B38" s="44"/>
      <c r="C38" s="44"/>
      <c r="D38" s="265"/>
      <c r="E38" s="44"/>
      <c r="F38" s="44"/>
      <c r="G38" s="44"/>
      <c r="H38" s="265"/>
      <c r="I38" s="103"/>
    </row>
    <row r="39" spans="1:23" ht="15.75" thickBot="1" x14ac:dyDescent="0.3">
      <c r="B39" s="107" t="s">
        <v>175</v>
      </c>
      <c r="C39" s="44"/>
      <c r="D39" s="108">
        <f>TRecup_prix!$F$17</f>
        <v>0.27108524685253566</v>
      </c>
      <c r="E39" s="44"/>
      <c r="F39" s="107" t="s">
        <v>176</v>
      </c>
      <c r="G39" s="44"/>
      <c r="H39" s="108">
        <f>TRecup_smpt!$F$17</f>
        <v>0.269053957416311</v>
      </c>
      <c r="I39" s="103"/>
    </row>
    <row r="40" spans="1:23" x14ac:dyDescent="0.25">
      <c r="B40" s="208" t="s">
        <v>164</v>
      </c>
      <c r="C40" s="205"/>
      <c r="D40" s="262">
        <f>TRecup_prix!$J$17</f>
        <v>0.17327620985939349</v>
      </c>
      <c r="E40" s="44"/>
      <c r="F40" s="208" t="s">
        <v>164</v>
      </c>
      <c r="G40" s="205"/>
      <c r="H40" s="262">
        <f>TRecup_smpt!$J$17</f>
        <v>0.17198694486288299</v>
      </c>
      <c r="I40" s="103"/>
    </row>
    <row r="41" spans="1:23" ht="15.75" thickBot="1" x14ac:dyDescent="0.3">
      <c r="B41" s="209" t="s">
        <v>165</v>
      </c>
      <c r="C41" s="205"/>
      <c r="D41" s="263">
        <f>TRecup_prix!$N$17</f>
        <v>9.7809036993142209E-2</v>
      </c>
      <c r="E41" s="44"/>
      <c r="F41" s="209" t="s">
        <v>165</v>
      </c>
      <c r="G41" s="205"/>
      <c r="H41" s="263">
        <f>TRecup_smpt!$N$17</f>
        <v>9.7067012553428075E-2</v>
      </c>
      <c r="I41" s="103"/>
    </row>
    <row r="42" spans="1:23" x14ac:dyDescent="0.25">
      <c r="B42" s="111"/>
      <c r="C42" s="44"/>
      <c r="D42" s="112"/>
      <c r="E42" s="44"/>
      <c r="G42" s="44"/>
      <c r="I42" s="103"/>
    </row>
    <row r="43" spans="1:23" x14ac:dyDescent="0.25">
      <c r="B43" s="111"/>
      <c r="C43" s="44"/>
      <c r="D43" s="112"/>
      <c r="E43" s="44"/>
      <c r="G43" s="44"/>
      <c r="I43" s="103"/>
    </row>
    <row r="44" spans="1:23" ht="18.75" x14ac:dyDescent="0.3">
      <c r="A44" s="113"/>
      <c r="B44" s="211" t="s">
        <v>400</v>
      </c>
      <c r="C44" s="211"/>
      <c r="D44" s="211"/>
      <c r="E44" s="167"/>
      <c r="F44" s="211" t="s">
        <v>400</v>
      </c>
      <c r="G44" s="211"/>
      <c r="H44" s="211"/>
      <c r="K44" s="296"/>
      <c r="L44" s="296"/>
      <c r="M44" s="296"/>
      <c r="N44" s="294"/>
      <c r="O44" s="296"/>
      <c r="P44" s="296"/>
      <c r="Q44" s="296"/>
      <c r="R44" s="296"/>
      <c r="S44" s="296"/>
      <c r="T44" s="296"/>
      <c r="U44" s="296"/>
      <c r="V44" s="294"/>
    </row>
    <row r="45" spans="1:23" s="103" customFormat="1" ht="15.75" thickBot="1" x14ac:dyDescent="0.3">
      <c r="A45" s="113"/>
      <c r="B45" s="45"/>
      <c r="C45" s="45"/>
      <c r="D45" s="45"/>
      <c r="E45" s="45"/>
      <c r="F45" s="45"/>
      <c r="G45" s="45"/>
      <c r="H45" s="45"/>
    </row>
    <row r="46" spans="1:23" s="103" customFormat="1" ht="14.25" customHeight="1" thickBot="1" x14ac:dyDescent="0.3">
      <c r="A46" s="113"/>
      <c r="B46" s="110" t="s">
        <v>402</v>
      </c>
      <c r="C46" s="45"/>
      <c r="D46" s="703">
        <f ca="1">D70/D$57</f>
        <v>0.62658365163819263</v>
      </c>
      <c r="E46" s="45"/>
      <c r="F46" s="110" t="s">
        <v>402</v>
      </c>
      <c r="G46" s="45"/>
      <c r="H46" s="703">
        <f ca="1">H70/H$57</f>
        <v>0.61854259786593557</v>
      </c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</row>
    <row r="47" spans="1:23" s="103" customFormat="1" ht="14.25" customHeight="1" x14ac:dyDescent="0.25">
      <c r="A47" s="113"/>
      <c r="B47" s="702" t="s">
        <v>164</v>
      </c>
      <c r="C47" s="205"/>
      <c r="D47" s="704">
        <f t="shared" ref="D47:D48" ca="1" si="0">D71/D$57</f>
        <v>0.49659745347728185</v>
      </c>
      <c r="E47" s="45"/>
      <c r="F47" s="702" t="s">
        <v>164</v>
      </c>
      <c r="G47" s="205"/>
      <c r="H47" s="704">
        <f t="shared" ref="H47:H48" ca="1" si="1">H71/H$57</f>
        <v>0.49022453452841253</v>
      </c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</row>
    <row r="48" spans="1:23" s="103" customFormat="1" ht="14.25" customHeight="1" thickBot="1" x14ac:dyDescent="0.3">
      <c r="A48" s="113"/>
      <c r="B48" s="215" t="s">
        <v>165</v>
      </c>
      <c r="C48" s="205"/>
      <c r="D48" s="705">
        <f t="shared" ca="1" si="0"/>
        <v>0.12998619816091087</v>
      </c>
      <c r="E48" s="45"/>
      <c r="F48" s="215" t="s">
        <v>165</v>
      </c>
      <c r="G48" s="205"/>
      <c r="H48" s="705">
        <f t="shared" ca="1" si="1"/>
        <v>0.12831806333752308</v>
      </c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</row>
    <row r="49" spans="1:23" ht="15.75" thickBot="1" x14ac:dyDescent="0.3">
      <c r="A49" s="113"/>
      <c r="B49" s="110" t="s">
        <v>403</v>
      </c>
      <c r="D49" s="703">
        <f ca="1">D67/D$56</f>
        <v>0.54691873845522787</v>
      </c>
      <c r="F49" s="110" t="s">
        <v>403</v>
      </c>
      <c r="H49" s="703">
        <f ca="1">H67/H$56</f>
        <v>0.53990003796172559</v>
      </c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</row>
    <row r="50" spans="1:23" s="103" customFormat="1" ht="14.25" customHeight="1" x14ac:dyDescent="0.25">
      <c r="A50" s="113"/>
      <c r="B50" s="702" t="s">
        <v>164</v>
      </c>
      <c r="C50" s="205"/>
      <c r="D50" s="704">
        <f t="shared" ref="D50:D51" si="2">D68/D$56</f>
        <v>0.43246126410208635</v>
      </c>
      <c r="E50" s="45"/>
      <c r="F50" s="702" t="s">
        <v>164</v>
      </c>
      <c r="G50" s="205"/>
      <c r="H50" s="704">
        <f t="shared" ref="H50:H51" si="3">H68/H$56</f>
        <v>0.42691141569801228</v>
      </c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</row>
    <row r="51" spans="1:23" s="103" customFormat="1" ht="14.25" customHeight="1" thickBot="1" x14ac:dyDescent="0.3">
      <c r="A51" s="113"/>
      <c r="B51" s="215" t="s">
        <v>165</v>
      </c>
      <c r="C51" s="205"/>
      <c r="D51" s="705">
        <f t="shared" ca="1" si="2"/>
        <v>0.11445747435314156</v>
      </c>
      <c r="E51" s="45"/>
      <c r="F51" s="215" t="s">
        <v>165</v>
      </c>
      <c r="G51" s="205"/>
      <c r="H51" s="705">
        <f t="shared" ca="1" si="3"/>
        <v>0.1129886222637133</v>
      </c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</row>
    <row r="52" spans="1:23" x14ac:dyDescent="0.25">
      <c r="B52" s="111"/>
      <c r="C52" s="44"/>
      <c r="D52" s="112"/>
      <c r="E52" s="44"/>
      <c r="G52" s="44"/>
      <c r="I52" s="103"/>
    </row>
    <row r="53" spans="1:23" x14ac:dyDescent="0.25">
      <c r="B53" s="111"/>
      <c r="C53" s="44"/>
      <c r="D53" s="112"/>
      <c r="E53" s="44"/>
      <c r="G53" s="44"/>
      <c r="I53" s="103"/>
    </row>
    <row r="54" spans="1:23" ht="18.75" x14ac:dyDescent="0.3">
      <c r="B54" s="211" t="s">
        <v>237</v>
      </c>
      <c r="C54" s="211"/>
      <c r="D54" s="212"/>
      <c r="E54" s="167"/>
      <c r="F54" s="211" t="s">
        <v>237</v>
      </c>
      <c r="G54" s="211"/>
      <c r="H54" s="212"/>
    </row>
    <row r="55" spans="1:23" ht="19.5" thickBot="1" x14ac:dyDescent="0.35">
      <c r="B55" s="167"/>
      <c r="C55" s="167"/>
      <c r="D55" s="168"/>
      <c r="E55" s="167"/>
      <c r="G55" s="167"/>
    </row>
    <row r="56" spans="1:23" ht="15.75" customHeight="1" thickBot="1" x14ac:dyDescent="0.3">
      <c r="B56" s="306" t="s">
        <v>192</v>
      </c>
      <c r="D56" s="307">
        <f>LOOKUP(Simulation!$D$6-1,Salaires!$B$7:$B$58,Salaires!$P$7:$P$58)</f>
        <v>60365.173758142875</v>
      </c>
      <c r="F56" s="306" t="s">
        <v>192</v>
      </c>
      <c r="H56" s="307">
        <f>LOOKUP(Simulation!$D$6-1,Salaires!$B$7:$B$58,Salaires!$T$7:$T$58)</f>
        <v>33790.720784306221</v>
      </c>
    </row>
    <row r="57" spans="1:23" ht="15.75" customHeight="1" thickBot="1" x14ac:dyDescent="0.3">
      <c r="B57" s="306" t="s">
        <v>193</v>
      </c>
      <c r="D57" s="307">
        <f>LOOKUP(Simulation!$D$6-1,Salaires!$B$7:$B$58,Salaires!$Q$7:$Q$58)</f>
        <v>47785.162094706538</v>
      </c>
      <c r="F57" s="306" t="s">
        <v>193</v>
      </c>
      <c r="H57" s="307">
        <f>LOOKUP(Simulation!$D$6-1,Salaires!$B$7:$B$58,Salaires!$U$7:$U$58)</f>
        <v>26748.78525893798</v>
      </c>
    </row>
    <row r="58" spans="1:23" ht="15.75" thickBot="1" x14ac:dyDescent="0.3">
      <c r="D58" s="44"/>
      <c r="H58" s="44"/>
    </row>
    <row r="59" spans="1:23" ht="15.75" customHeight="1" thickBot="1" x14ac:dyDescent="0.3">
      <c r="B59" s="306" t="s">
        <v>194</v>
      </c>
      <c r="D59" s="307">
        <f>AVERAGEIF(Salaires!$P$7:$P$57,"&lt;&gt;0",Salaires!$P$7:$P$57)</f>
        <v>43241.395128575343</v>
      </c>
      <c r="F59" s="306" t="s">
        <v>194</v>
      </c>
      <c r="H59" s="307">
        <f>AVERAGEIF(Salaires!$P$7:$P$57,"&lt;&gt;0",Salaires!$T$7:$T$57)</f>
        <v>30670.066199473029</v>
      </c>
    </row>
    <row r="60" spans="1:23" ht="15.75" customHeight="1" thickBot="1" x14ac:dyDescent="0.3">
      <c r="B60" s="306" t="s">
        <v>195</v>
      </c>
      <c r="D60" s="307">
        <f>AVERAGEIF(Salaires!$Q$7:$Q$57,"&lt;&gt;0",Salaires!$Q$7:$Q$57)</f>
        <v>34229.953245872923</v>
      </c>
      <c r="F60" s="306" t="s">
        <v>195</v>
      </c>
      <c r="H60" s="307">
        <f>AVERAGEIF(Salaires!$Q$7:$Q$57,"&lt;&gt;0",Salaires!$U$7:$U$57)</f>
        <v>24278.470408602148</v>
      </c>
    </row>
    <row r="61" spans="1:23" ht="15.75" thickBot="1" x14ac:dyDescent="0.3">
      <c r="D61" s="44"/>
      <c r="H61" s="44"/>
    </row>
    <row r="62" spans="1:23" ht="15.75" customHeight="1" thickBot="1" x14ac:dyDescent="0.3">
      <c r="B62" s="306" t="s">
        <v>196</v>
      </c>
      <c r="D62" s="307">
        <f>SUM(Salaires!$P$7:$P$57)</f>
        <v>1859379.9905287398</v>
      </c>
      <c r="F62" s="306" t="s">
        <v>196</v>
      </c>
      <c r="H62" s="307">
        <f>SUM(Salaires!$T$7:$T$57)</f>
        <v>1318812.8465773403</v>
      </c>
    </row>
    <row r="63" spans="1:23" ht="15.75" customHeight="1" thickBot="1" x14ac:dyDescent="0.3">
      <c r="B63" s="306" t="s">
        <v>197</v>
      </c>
      <c r="D63" s="307">
        <f>SUM(Salaires!$Q$7:$Q$57)</f>
        <v>1471887.9895725357</v>
      </c>
      <c r="F63" s="306" t="s">
        <v>197</v>
      </c>
      <c r="H63" s="307">
        <f>SUM(Salaires!$U$7:$U$57)</f>
        <v>1043974.2275698923</v>
      </c>
      <c r="I63" s="322"/>
    </row>
    <row r="64" spans="1:23" ht="15.75" customHeight="1" thickBot="1" x14ac:dyDescent="0.3">
      <c r="B64" s="111"/>
      <c r="D64" s="323"/>
      <c r="F64" s="111"/>
      <c r="H64" s="323"/>
      <c r="I64" s="322"/>
    </row>
    <row r="65" spans="2:8" ht="15.75" customHeight="1" thickBot="1" x14ac:dyDescent="0.3">
      <c r="B65" s="324" t="s">
        <v>231</v>
      </c>
      <c r="D65" s="325">
        <f>SUM(TRecup_prix!$F$18:$F$101)</f>
        <v>504050.48372514884</v>
      </c>
      <c r="F65" s="324" t="s">
        <v>231</v>
      </c>
      <c r="H65" s="325">
        <f>SUM(TRecup_smpt!$F$18:$F$101)</f>
        <v>354831.81546310359</v>
      </c>
    </row>
    <row r="66" spans="2:8" ht="15.75" thickBot="1" x14ac:dyDescent="0.3">
      <c r="D66" s="44"/>
      <c r="H66" s="44"/>
    </row>
    <row r="67" spans="2:8" ht="15.75" customHeight="1" thickBot="1" x14ac:dyDescent="0.3">
      <c r="B67" s="309" t="s">
        <v>198</v>
      </c>
      <c r="D67" s="310">
        <f ca="1">LOOKUP(Simulation!$D$6+Simulation!$D$4,TRecup_prix!$A$18:$A$101,TRecup_prix!$D$18:$D$101)</f>
        <v>33014.844678434129</v>
      </c>
      <c r="F67" s="309" t="s">
        <v>198</v>
      </c>
      <c r="H67" s="310">
        <f ca="1">LOOKUP(Simulation!$D$6+Simulation!$D$4,TRecup_smpt!$A$18:$A$101,TRecup_smpt!$D$18:$D$101)</f>
        <v>18243.611434200997</v>
      </c>
    </row>
    <row r="68" spans="2:8" ht="15.75" customHeight="1" x14ac:dyDescent="0.25">
      <c r="B68" s="706" t="s">
        <v>164</v>
      </c>
      <c r="D68" s="708">
        <f>LOOKUP(Simulation!$D$6+Simulation!$D$4,TRecup_prix!$A$18:$A$101,TRecup_prix!$H$18:$H$101)</f>
        <v>26105.599351188557</v>
      </c>
      <c r="F68" s="706" t="s">
        <v>164</v>
      </c>
      <c r="H68" s="708">
        <f>LOOKUP(Simulation!$D$6+Simulation!$D$4,TRecup_smpt!$A$18:$A$101,TRecup_smpt!$H$18:$H$101)</f>
        <v>14425.644447484416</v>
      </c>
    </row>
    <row r="69" spans="2:8" ht="15.75" customHeight="1" thickBot="1" x14ac:dyDescent="0.3">
      <c r="B69" s="707" t="s">
        <v>165</v>
      </c>
      <c r="D69" s="709">
        <f ca="1">LOOKUP(Simulation!$D$6+Simulation!$D$4,TRecup_prix!$A$18:$A$101,TRecup_prix!$L$18:$L$101)</f>
        <v>6909.2453272455723</v>
      </c>
      <c r="F69" s="707" t="s">
        <v>165</v>
      </c>
      <c r="H69" s="709">
        <f ca="1">LOOKUP(Simulation!$D$6+Simulation!$D$4,TRecup_smpt!$A$18:$A$101,TRecup_smpt!$L$18:$L$101)</f>
        <v>3817.9669867165817</v>
      </c>
    </row>
    <row r="70" spans="2:8" ht="15.75" customHeight="1" thickBot="1" x14ac:dyDescent="0.3">
      <c r="B70" s="309" t="s">
        <v>199</v>
      </c>
      <c r="D70" s="310">
        <f ca="1">LOOKUP(Simulation!$D$6+Simulation!$D$4,TRecup_prix!$A$18:$A$101,TRecup_prix!$E$18:$E$101)</f>
        <v>29941.40135942417</v>
      </c>
      <c r="F70" s="309" t="s">
        <v>199</v>
      </c>
      <c r="H70" s="310">
        <f ca="1">LOOKUP(Simulation!$D$6+Simulation!$D$4,TRecup_smpt!$A$18:$A$101,TRecup_smpt!$E$18:$E$101)</f>
        <v>16545.26312382154</v>
      </c>
    </row>
    <row r="71" spans="2:8" ht="15.75" customHeight="1" x14ac:dyDescent="0.25">
      <c r="B71" s="706" t="s">
        <v>164</v>
      </c>
      <c r="D71" s="708">
        <f ca="1">LOOKUP(Simulation!$D$6+Simulation!$D$4,TRecup_prix!$A$18:$A$101,TRecup_prix!$I$18:$I$101)</f>
        <v>23729.989810230403</v>
      </c>
      <c r="F71" s="706" t="s">
        <v>164</v>
      </c>
      <c r="H71" s="708">
        <f ca="1">LOOKUP(Simulation!$D$6+Simulation!$D$4,TRecup_smpt!$A$18:$A$101,TRecup_smpt!$I$18:$I$101)</f>
        <v>13112.910802763334</v>
      </c>
    </row>
    <row r="72" spans="2:8" ht="15.75" customHeight="1" thickBot="1" x14ac:dyDescent="0.3">
      <c r="B72" s="707" t="s">
        <v>165</v>
      </c>
      <c r="D72" s="709">
        <f ca="1">LOOKUP(Simulation!$D$6+Simulation!$D$4,TRecup_prix!$A$18:$A$101,TRecup_prix!$M$18:$M$101)</f>
        <v>6211.41154919377</v>
      </c>
      <c r="F72" s="707" t="s">
        <v>165</v>
      </c>
      <c r="H72" s="709">
        <f ca="1">LOOKUP(Simulation!$D$6+Simulation!$D$4,TRecup_smpt!$A$18:$A$101,TRecup_smpt!$M$18:$M$101)</f>
        <v>3432.3523210582071</v>
      </c>
    </row>
    <row r="73" spans="2:8" ht="15.75" thickBot="1" x14ac:dyDescent="0.3">
      <c r="D73" s="44"/>
      <c r="H73" s="44"/>
    </row>
    <row r="74" spans="2:8" ht="15.75" customHeight="1" thickBot="1" x14ac:dyDescent="0.3">
      <c r="B74" s="309" t="s">
        <v>200</v>
      </c>
      <c r="D74" s="310">
        <f ca="1">AVERAGEIF(TRecup_prix!$D$18:$D$101,"&lt;&gt;0",TRecup_prix!$D$18:$D$101)</f>
        <v>32715.666042983645</v>
      </c>
      <c r="F74" s="309" t="s">
        <v>200</v>
      </c>
      <c r="H74" s="310">
        <f ca="1">AVERAGEIF(TRecup_smpt!$D$18:$D$101,"&lt;&gt;0",TRecup_smpt!$D$18:$D$101)</f>
        <v>15345.493572093421</v>
      </c>
    </row>
    <row r="75" spans="2:8" ht="15.75" customHeight="1" thickBot="1" x14ac:dyDescent="0.3">
      <c r="B75" s="309" t="s">
        <v>201</v>
      </c>
      <c r="D75" s="310">
        <f ca="1">AVERAGEIF(TRecup_prix!$E$18:$E$101,"&lt;&gt;0",TRecup_prix!$E$18:$E$101)</f>
        <v>29663.613211946533</v>
      </c>
      <c r="F75" s="309" t="s">
        <v>201</v>
      </c>
      <c r="H75" s="310">
        <f ca="1">AVERAGEIF(TRecup_smpt!$E$18:$E$101,"&lt;&gt;0",TRecup_smpt!$E$18:$E$101)</f>
        <v>13913.991415599445</v>
      </c>
    </row>
    <row r="76" spans="2:8" ht="15.75" thickBot="1" x14ac:dyDescent="0.3">
      <c r="D76" s="44"/>
      <c r="H76" s="44"/>
    </row>
    <row r="77" spans="2:8" ht="15.75" customHeight="1" thickBot="1" x14ac:dyDescent="0.3">
      <c r="B77" s="309" t="s">
        <v>202</v>
      </c>
      <c r="D77" s="310">
        <f ca="1">SUM(TRecup_prix!$D$18:$D$101)</f>
        <v>916038.64920354204</v>
      </c>
      <c r="F77" s="309" t="s">
        <v>202</v>
      </c>
      <c r="H77" s="310">
        <f ca="1">SUM(TRecup_smpt!$D$18:$D$101)</f>
        <v>429673.82001861581</v>
      </c>
    </row>
    <row r="78" spans="2:8" ht="15.75" customHeight="1" thickBot="1" x14ac:dyDescent="0.3">
      <c r="B78" s="309" t="s">
        <v>203</v>
      </c>
      <c r="D78" s="310">
        <f ca="1">SUM(TRecup_prix!$E$18:$E$101)</f>
        <v>830581.16993450292</v>
      </c>
      <c r="F78" s="309" t="s">
        <v>203</v>
      </c>
      <c r="H78" s="310">
        <f ca="1">SUM(TRecup_smpt!$E$18:$E$101)</f>
        <v>389591.75963678444</v>
      </c>
    </row>
    <row r="79" spans="2:8" x14ac:dyDescent="0.25">
      <c r="D79" s="44"/>
    </row>
  </sheetData>
  <mergeCells count="2">
    <mergeCell ref="B1:D1"/>
    <mergeCell ref="F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Z61"/>
  <sheetViews>
    <sheetView showGridLines="0" zoomScaleNormal="100" workbookViewId="0">
      <selection activeCell="C16" sqref="C16"/>
    </sheetView>
  </sheetViews>
  <sheetFormatPr baseColWidth="10" defaultRowHeight="15" x14ac:dyDescent="0.25"/>
  <cols>
    <col min="3" max="3" width="12.85546875" bestFit="1" customWidth="1"/>
    <col min="4" max="9" width="12.85546875" customWidth="1"/>
    <col min="16" max="18" width="12.85546875" bestFit="1" customWidth="1"/>
    <col min="20" max="22" width="12.85546875" bestFit="1" customWidth="1"/>
    <col min="25" max="25" width="14.5703125" customWidth="1"/>
  </cols>
  <sheetData>
    <row r="1" spans="1:26" ht="18.75" x14ac:dyDescent="0.3">
      <c r="A1" s="8" t="s">
        <v>251</v>
      </c>
      <c r="B1" s="8"/>
      <c r="Y1" s="8"/>
    </row>
    <row r="2" spans="1:26" ht="18.75" x14ac:dyDescent="0.3">
      <c r="A2" s="8"/>
      <c r="B2" s="8"/>
      <c r="Y2" s="8"/>
    </row>
    <row r="3" spans="1:26" s="8" customFormat="1" ht="25.5" customHeight="1" x14ac:dyDescent="0.3">
      <c r="A3" s="759" t="s">
        <v>205</v>
      </c>
      <c r="B3" s="759"/>
      <c r="C3" s="759"/>
      <c r="D3" s="759"/>
      <c r="E3" s="759"/>
      <c r="F3" s="759"/>
      <c r="G3" s="759"/>
      <c r="H3" s="177"/>
      <c r="I3" s="177"/>
      <c r="K3" s="8" t="s">
        <v>215</v>
      </c>
      <c r="P3" s="8" t="s">
        <v>229</v>
      </c>
      <c r="T3" s="8" t="s">
        <v>230</v>
      </c>
      <c r="Y3" s="8" t="s">
        <v>278</v>
      </c>
    </row>
    <row r="5" spans="1:26" s="303" customFormat="1" ht="45" x14ac:dyDescent="0.25">
      <c r="A5" s="305" t="s">
        <v>10</v>
      </c>
      <c r="B5" s="195" t="s">
        <v>12</v>
      </c>
      <c r="C5" s="193" t="s">
        <v>204</v>
      </c>
      <c r="D5" s="193" t="s">
        <v>218</v>
      </c>
      <c r="E5" s="193" t="s">
        <v>236</v>
      </c>
      <c r="F5" s="193" t="s">
        <v>228</v>
      </c>
      <c r="H5" s="193" t="s">
        <v>206</v>
      </c>
      <c r="I5" s="193" t="s">
        <v>214</v>
      </c>
      <c r="K5" s="193" t="s">
        <v>216</v>
      </c>
      <c r="L5" s="193" t="s">
        <v>217</v>
      </c>
      <c r="M5" s="193" t="s">
        <v>227</v>
      </c>
      <c r="N5" s="193" t="s">
        <v>226</v>
      </c>
      <c r="P5" s="193" t="s">
        <v>204</v>
      </c>
      <c r="Q5" s="193" t="s">
        <v>206</v>
      </c>
      <c r="R5" s="193" t="s">
        <v>214</v>
      </c>
      <c r="T5" s="193" t="s">
        <v>204</v>
      </c>
      <c r="U5" s="193" t="s">
        <v>206</v>
      </c>
      <c r="V5" s="193" t="s">
        <v>214</v>
      </c>
      <c r="Y5" s="195" t="s">
        <v>98</v>
      </c>
      <c r="Z5" s="303" t="s">
        <v>279</v>
      </c>
    </row>
    <row r="6" spans="1:26" s="303" customFormat="1" x14ac:dyDescent="0.25">
      <c r="A6" s="304"/>
      <c r="B6" s="224"/>
      <c r="C6" s="329"/>
      <c r="D6" s="330"/>
      <c r="E6" s="330"/>
      <c r="F6" s="330"/>
      <c r="H6" s="304"/>
      <c r="I6" s="304"/>
      <c r="Y6" s="95"/>
    </row>
    <row r="7" spans="1:26" s="4" customFormat="1" x14ac:dyDescent="0.25">
      <c r="A7" s="15">
        <f>B7+Simulation!$D$4</f>
        <v>2017</v>
      </c>
      <c r="B7" s="19">
        <v>17</v>
      </c>
      <c r="C7" s="77">
        <f>IF(AND($B7&gt;=Simulation!$D$5,$B7&lt;Simulation!$D$6),IF(Simulation!$D$3=1,LOOKUP($B7,Info_cas_type!$B$5:$B$55,Info_cas_type!$C$5:$C$55)*LOOKUP($A7,Barèmes!$A$65:$A$148,Barèmes!$D$65:$D$148),IF(Simulation!$D$3=2,LOOKUP($B7,Info_cas_type!$B$5:$B$55,Info_cas_type!$D$5:$D$55)*LOOKUP($A7,Barèmes!$A$65:$A$148,Barèmes!$D$65:$D$148),IF(Simulation!$D$3="2P",LOOKUP($B7,Info_cas_type!$B$5:$B$55,Info_cas_type!$E$5:$E$55)*LOOKUP($A7,Barèmes!$A$65:$A$148,Barèmes!$D$65:$D$148),IF(Simulation!$D$3="2M",LOOKUP($B7,Info_cas_type!$B$5:$B$55,Info_cas_type!$F$5:$F$55)*LOOKUP($A7,Barèmes!$A$65:$A$148,Barèmes!$D$65:$D$148),IF(Simulation!$D$3="SMIC",LOOKUP($A7,Barèmes!$A$65:$A$148,Barèmes!$F$65:$F$148),LOOKUP($B7,Info_cas_type!$B$5:$B$55,Info_cas_type!$G$5:$G$55)*LOOKUP($A7,Barèmes!$A$65:$A$148,Barèmes!$D$65:$D$148)))))),0)*LOOKUP($B7,Info_cas_type!$B$5:$B$55,Info_cas_type!$H$5:$H$55)</f>
        <v>0</v>
      </c>
      <c r="D7" s="56">
        <f>MIN($C7,LOOKUP($A7,Barèmes!$A$65:$A$148,Barèmes!$V$65:$V$148))</f>
        <v>0</v>
      </c>
      <c r="E7" s="56">
        <f>MIN(F7,7*LOOKUP($A7,Barèmes!$A$65:$A$148,Barèmes!$V$65:$V$148))</f>
        <v>0</v>
      </c>
      <c r="F7" s="56">
        <f>IF($C7&gt;LOOKUP($A7,Barèmes!$A$65:$A$148,Barèmes!$V$65:$V$148),($C7-LOOKUP($A7,Barèmes!$A$65:$A$148,Barèmes!$V$65:$V$148)),0)</f>
        <v>0</v>
      </c>
      <c r="H7" s="81">
        <f>IF(F7&lt;=0,D7*(1-K7),D7*(1-L7)+(F7-E7)*(1-N7)+E7*(1-M7-N7))</f>
        <v>0</v>
      </c>
      <c r="I7" s="56">
        <f>H7+LOOKUP($A7,Barèmes!$A$5:$A$148,Barèmes!$CK$5:$CK$148)*C7*(LOOKUP($A7,Barèmes!$CG$65:$CG$148,Barèmes!$CH$65:$CH$148)-LOOKUP($A7,Barèmes!$CG$65:$CG$148,Barèmes!$CI$65:$CI$148))</f>
        <v>0</v>
      </c>
      <c r="K7" s="320">
        <f>LOOKUP($A7,Barèmes!$A$65:$A$148,Barèmes!$K$65:$K$148)-LOOKUP($A7,Barèmes!$A$65:$A$148,Barèmes!$L$65:$L$148)+(LOOKUP($A7,Barèmes!$A$65:$A$148,Barèmes!$AC$65:$AC$148)-LOOKUP($A7,Barèmes!$A$65:$A$148,Barèmes!$AD$65:$AD$148))*LOOKUP($A7,Barèmes!$A$65:$A$148,Barèmes!$AI$65:$AI$148)+LOOKUP($A7,Barèmes!$A$65:$A$148,Barèmes!$AQ$65:$AQ$148)-LOOKUP($A7,Barèmes!$A$65:$A$148,Barèmes!$AR$65:$AR$148)+LOOKUP($A7,Barèmes!$A$65:$A$148,Barèmes!$CL$65:$CL$148)+LOOKUP($A7,Barèmes!$A$65:$A$148,Barèmes!$CM$65:$CM$148)+LOOKUP($A7,Barèmes!$A$5:$A$148,Barèmes!$CK$5:$CK$148)*(LOOKUP($A7,Barèmes!$A$65:$A$148,Barèmes!$CH$65:$CH$148)+LOOKUP($A7,Barèmes!$A$65:$A$148,Barèmes!$CJ$65:$CJ$148))</f>
        <v>0.22209999999999999</v>
      </c>
      <c r="L7" s="320">
        <f>K7+LOOKUP($A7,Barèmes!$A$65:$A$148,Barèmes!$AL$65:$AL$148)-LOOKUP($A7,Barèmes!$A$65:$A$148,Barèmes!$AM$65:$AM$148)+IF($A7&gt;2010,LOOKUP($A7,Barèmes!$CG$5:$CG$148,Barèmes!$CO$5:$CO$148),0)</f>
        <v>0.22363999999999998</v>
      </c>
      <c r="M7" s="320">
        <f>(LOOKUP($A7,Barèmes!$A$65:$A$148,Barèmes!$AF$65:$AF$148)-LOOKUP($A7,Barèmes!$A$65:$A$148,Barèmes!$AG$65:$AG$148))*LOOKUP($A7,Barèmes!$A$65:$A$148,Barèmes!$AI$65:$AI$148)+LOOKUP($A7,Barèmes!$A$65:$A$148,Barèmes!$AL$65:$AL$148)-LOOKUP($A7,Barèmes!$A$65:$A$148,Barèmes!$AM$65:$AM$148)+LOOKUP($A7,Barèmes!$A$65:$A$148,Barèmes!$AV$65:$AV$148)-LOOKUP($A7,Barèmes!$A$65:$A$148,Barèmes!$AW$65:$AW$148)+LOOKUP($A7,Barèmes!$A$65:$A$148,Barèmes!$CN$65:$CN$148)+LOOKUP($A7,Barèmes!$A$65:$A$148,Barèmes!$CO$65:$CO$148)</f>
        <v>0.11254000000000004</v>
      </c>
      <c r="N7" s="320">
        <f>LOOKUP($A7,Barèmes!$A$65:$A$148,Barèmes!$N$65:$N$148)-LOOKUP($A7,Barèmes!$A$65:$A$148,Barèmes!O65:O148)+0.9825*LOOKUP($A7,Barèmes!$A$65:$A$148,Barèmes!$CH$65:$CH$148)+0.9825*LOOKUP($A7,Barèmes!$A$65:$A$148,Barèmes!$CJ$65:$CJ$148)+LOOKUP($A7,Barèmes!$A$65:$A$148,Barèmes!$CL$65:$CL$148)</f>
        <v>9.0100000000000013E-2</v>
      </c>
      <c r="P7" s="321">
        <f>C7/LOOKUP($A7,Barèmes!$A$65:$A$148,Barèmes!$C$65:$C$148)</f>
        <v>0</v>
      </c>
      <c r="Q7" s="321">
        <f>H7/LOOKUP($A7,Barèmes!$A$65:$A$148,Barèmes!$C$65:$C$148)</f>
        <v>0</v>
      </c>
      <c r="R7" s="321">
        <f>I7/LOOKUP($A7,Barèmes!$A$65:$A$148,Barèmes!$C$65:$C$148)</f>
        <v>0</v>
      </c>
      <c r="T7" s="321">
        <f>C7/LOOKUP($A7,Barèmes!$A$65:$A$148,Barèmes!$G$65:$G$148)</f>
        <v>0</v>
      </c>
      <c r="U7" s="321">
        <f>H7/LOOKUP($A7,Barèmes!$A$65:$A$148,Barèmes!$G$65:$G$148)</f>
        <v>0</v>
      </c>
      <c r="V7" s="321">
        <f>I7/LOOKUP($A7,Barèmes!$A$65:$A$148,Barèmes!$G$65:$G$148)</f>
        <v>0</v>
      </c>
      <c r="Y7" s="95">
        <v>1</v>
      </c>
      <c r="Z7" s="280">
        <f>IF($Y7=1,IF(I7&lt;LOOKUP($A7,Barèmes!$AB$65:$AB$148,Barèmes!$BM$65:$BM$148),LOOKUP($A7,Barèmes!$AB$65:$AB$148,Barèmes!$BQ$65:$BQ$148),IF(I7&lt;LOOKUP($A7,Barèmes!$AB$65:$AB$148,Barèmes!$BN$65:$BN$148),LOOKUP($A7,Barèmes!$AB$65:$AB$148,Barèmes!$BR$65:$BR$148),IF(I7&lt;LOOKUP($A7,Barèmes!$AB$65:$AB$148,Barèmes!$BO$65:$BO$148),LOOKUP($A7,Barèmes!$AB$65:$AB$148,Barèmes!$BS$65:$BS$148),LOOKUP($A7,Barèmes!$AB$65:$AB$148,Barèmes!$BT$65:$BT$148)))),IF($Y7=2,IF(I7&lt;LOOKUP($A7,Barèmes!$AB$65:$AB$148,Barèmes!$BW$65:$BW$148),LOOKUP($A7,Barèmes!$AB$65:$AB$148,Barèmes!$CA$65:$CA$148),IF(I7&lt;LOOKUP($A7,Barèmes!$AB$65:$AB$148,Barèmes!$BX$65:$BX$148),LOOKUP($A7,Barèmes!$AB$65:$AB$148,Barèmes!$CB$65:$CB$148),IF(I7&lt;LOOKUP($A7,Barèmes!$AB$65:$AB$148,Barèmes!$BY$65:$BY$148),LOOKUP($A7,Barèmes!$AB$65:$AB$148,Barèmes!$CC$65:$CC148),LOOKUP($A7,Barèmes!$AB$65:$AB$148,Barèmes!$CD$65:$CD$148))))))</f>
        <v>0</v>
      </c>
    </row>
    <row r="8" spans="1:26" s="4" customFormat="1" x14ac:dyDescent="0.25">
      <c r="A8" s="15">
        <f>B8+Simulation!$D$4</f>
        <v>2018</v>
      </c>
      <c r="B8" s="19">
        <v>18</v>
      </c>
      <c r="C8" s="77">
        <f>IF(AND($B8&gt;=Simulation!$D$5,$B8&lt;Simulation!$D$6),IF(Simulation!$D$3=1,LOOKUP($B8,Info_cas_type!$B$5:$B$55,Info_cas_type!$C$5:$C$55)*LOOKUP($A8,Barèmes!$A$65:$A$148,Barèmes!$D$65:$D$148),IF(Simulation!$D$3=2,LOOKUP($B8,Info_cas_type!$B$5:$B$55,Info_cas_type!$D$5:$D$55)*LOOKUP($A8,Barèmes!$A$65:$A$148,Barèmes!$D$65:$D$148),IF(Simulation!$D$3="2P",LOOKUP($B8,Info_cas_type!$B$5:$B$55,Info_cas_type!$E$5:$E$55)*LOOKUP($A8,Barèmes!$A$65:$A$148,Barèmes!$D$65:$D$148),IF(Simulation!$D$3="2M",LOOKUP($B8,Info_cas_type!$B$5:$B$55,Info_cas_type!$F$5:$F$55)*LOOKUP($A8,Barèmes!$A$65:$A$148,Barèmes!$D$65:$D$148),IF(Simulation!$D$3="SMIC",LOOKUP($A8,Barèmes!$A$65:$A$148,Barèmes!$F$65:$F$148),LOOKUP($B8,Info_cas_type!$B$5:$B$55,Info_cas_type!$G$5:$G$55)*LOOKUP($A8,Barèmes!$A$65:$A$148,Barèmes!$D$65:$D$148)))))),0)*LOOKUP($B8,Info_cas_type!$B$5:$B$55,Info_cas_type!$H$5:$H$55)</f>
        <v>0</v>
      </c>
      <c r="D8" s="56">
        <f>MIN($C8,LOOKUP($A8,Barèmes!$A$65:$A$148,Barèmes!$V$65:$V$148))</f>
        <v>0</v>
      </c>
      <c r="E8" s="56">
        <f>MIN(F8,7*LOOKUP($A8,Barèmes!$A$65:$A$148,Barèmes!$V$65:$V$148))</f>
        <v>0</v>
      </c>
      <c r="F8" s="56">
        <f>IF($C8&gt;LOOKUP($A8,Barèmes!$A$65:$A$148,Barèmes!$V$65:$V$148),($C8-LOOKUP($A8,Barèmes!$A$65:$A$148,Barèmes!$V$65:$V$148)),0)</f>
        <v>0</v>
      </c>
      <c r="H8" s="81">
        <f t="shared" ref="H8:H57" si="0">IF(F8&lt;=0,D8*(1-K8),D8*(1-L8)+(F8-E8)*(1-N8)+E8*(1-M8-N8))</f>
        <v>0</v>
      </c>
      <c r="I8" s="56">
        <f>H8+LOOKUP($A8,Barèmes!$A$5:$A$148,Barèmes!$CK$5:$CK$148)*C8*(LOOKUP($A8,Barèmes!$CG$65:$CG$148,Barèmes!$CH$65:$CH$148)-LOOKUP($A8,Barèmes!$CG$65:$CG$148,Barèmes!$CI$65:$CI$148))</f>
        <v>0</v>
      </c>
      <c r="K8" s="320">
        <f>LOOKUP($A8,Barèmes!$A$65:$A$148,Barèmes!$K$65:$K$148)-LOOKUP($A8,Barèmes!$A$65:$A$148,Barèmes!$L$65:$L$148)+(LOOKUP($A8,Barèmes!$A$65:$A$148,Barèmes!$AC$65:$AC$148)-LOOKUP($A8,Barèmes!$A$65:$A$148,Barèmes!$AD$65:$AD$148))*LOOKUP($A8,Barèmes!$A$65:$A$148,Barèmes!$AI$65:$AI$148)+LOOKUP($A8,Barèmes!$A$65:$A$148,Barèmes!$AQ$65:$AQ$148)-LOOKUP($A8,Barèmes!$A$65:$A$148,Barèmes!$AR$65:$AR$148)+LOOKUP($A8,Barèmes!$A$65:$A$148,Barèmes!$CL$65:$CL$148)+LOOKUP($A8,Barèmes!$A$65:$A$148,Barèmes!$CM$65:$CM$148)+LOOKUP($A8,Barèmes!$A$5:$A$148,Barèmes!$CK$5:$CK$148)*(LOOKUP($A8,Barèmes!$A$65:$A$148,Barèmes!$CH$65:$CH$148)+LOOKUP($A8,Barèmes!$A$65:$A$148,Barèmes!$CJ$65:$CJ$148))</f>
        <v>0.22430250000000002</v>
      </c>
      <c r="L8" s="320">
        <f>K8+LOOKUP($A8,Barèmes!$A$65:$A$148,Barèmes!$AL$65:$AL$148)-LOOKUP($A8,Barèmes!$A$65:$A$148,Barèmes!$AM$65:$AM$148)+IF($A8&gt;2010,LOOKUP($A8,Barèmes!$CG$5:$CG$148,Barèmes!$CO$5:$CO$148),0)</f>
        <v>0.2258425</v>
      </c>
      <c r="M8" s="320">
        <f>(LOOKUP($A8,Barèmes!$A$65:$A$148,Barèmes!$AF$65:$AF$148)-LOOKUP($A8,Barèmes!$A$65:$A$148,Barèmes!$AG$65:$AG$148))*LOOKUP($A8,Barèmes!$A$65:$A$148,Barèmes!$AI$65:$AI$148)+LOOKUP($A8,Barèmes!$A$65:$A$148,Barèmes!$AL$65:$AL$148)-LOOKUP($A8,Barèmes!$A$65:$A$148,Barèmes!$AM$65:$AM$148)+LOOKUP($A8,Barèmes!$A$65:$A$148,Barèmes!$AV$65:$AV$148)-LOOKUP($A8,Barèmes!$A$65:$A$148,Barèmes!$AW$65:$AW$148)+LOOKUP($A8,Barèmes!$A$65:$A$148,Barèmes!$CN$65:$CN$148)+LOOKUP($A8,Barèmes!$A$65:$A$148,Barèmes!$CO$65:$CO$148)</f>
        <v>9.804000000000003E-2</v>
      </c>
      <c r="N8" s="320">
        <f>LOOKUP($A8,Barèmes!$A$65:$A$148,Barèmes!$N$65:$N$148)-LOOKUP($A8,Barèmes!$A$65:$A$148,Barèmes!O66:O149)+0.9825*LOOKUP($A8,Barèmes!$A$65:$A$148,Barèmes!$CH$65:$CH$148)+0.9825*LOOKUP($A8,Barèmes!$A$65:$A$148,Barèmes!$CJ$65:$CJ$148)+LOOKUP($A8,Barèmes!$A$65:$A$148,Barèmes!$CL$65:$CL$148)</f>
        <v>0.10680249999999999</v>
      </c>
      <c r="P8" s="321">
        <f>C8/LOOKUP($A8,Barèmes!$A$65:$A$148,Barèmes!$C$65:$C$148)</f>
        <v>0</v>
      </c>
      <c r="Q8" s="321">
        <f>H8/LOOKUP($A8,Barèmes!$A$65:$A$148,Barèmes!$C$65:$C$148)</f>
        <v>0</v>
      </c>
      <c r="R8" s="321">
        <f>I8/LOOKUP($A8,Barèmes!$A$65:$A$148,Barèmes!$C$65:$C$148)</f>
        <v>0</v>
      </c>
      <c r="T8" s="321">
        <f>C8/LOOKUP($A8,Barèmes!$A$65:$A$148,Barèmes!$G$65:$G$148)</f>
        <v>0</v>
      </c>
      <c r="U8" s="321">
        <f>H8/LOOKUP($A8,Barèmes!$A$65:$A$148,Barèmes!$G$65:$G$148)</f>
        <v>0</v>
      </c>
      <c r="V8" s="321">
        <f>I8/LOOKUP($A8,Barèmes!$A$65:$A$148,Barèmes!$G$65:$G$148)</f>
        <v>0</v>
      </c>
      <c r="Y8" s="95">
        <v>1</v>
      </c>
      <c r="Z8" s="280">
        <f>IF($Y8=1,IF(I8&lt;LOOKUP($A8,Barèmes!$AB$65:$AB$148,Barèmes!$BM$65:$BM$148),LOOKUP($A8,Barèmes!$AB$65:$AB$148,Barèmes!$BQ$65:$BQ$148),IF(I8&lt;LOOKUP($A8,Barèmes!$AB$65:$AB$148,Barèmes!$BN$65:$BN$148),LOOKUP($A8,Barèmes!$AB$65:$AB$148,Barèmes!$BR$65:$BR$148),IF(I8&lt;LOOKUP($A8,Barèmes!$AB$65:$AB$148,Barèmes!$BO$65:$BO$148),LOOKUP($A8,Barèmes!$AB$65:$AB$148,Barèmes!$BS$65:$BS$148),LOOKUP($A8,Barèmes!$AB$65:$AB$148,Barèmes!$BT$65:$BT$148)))),IF($Y8=2,IF(I8&lt;LOOKUP($A8,Barèmes!$AB$65:$AB$148,Barèmes!$BW$65:$BW$148),LOOKUP($A8,Barèmes!$AB$65:$AB$148,Barèmes!$CA$65:$CA$148),IF(I8&lt;LOOKUP($A8,Barèmes!$AB$65:$AB$148,Barèmes!$BX$65:$BX$148),LOOKUP($A8,Barèmes!$AB$65:$AB$148,Barèmes!$CB$65:$CB$148),IF(I8&lt;LOOKUP($A8,Barèmes!$AB$65:$AB$148,Barèmes!$BY$65:$BY$148),LOOKUP($A8,Barèmes!$AB$65:$AB$148,Barèmes!$CC$65:$CC149),LOOKUP($A8,Barèmes!$AB$65:$AB$148,Barèmes!$CD$65:$CD$148))))))</f>
        <v>0</v>
      </c>
    </row>
    <row r="9" spans="1:26" s="4" customFormat="1" x14ac:dyDescent="0.25">
      <c r="A9" s="15">
        <f>B9+Simulation!$D$4</f>
        <v>2019</v>
      </c>
      <c r="B9" s="19">
        <v>19</v>
      </c>
      <c r="C9" s="77">
        <f>IF(AND($B9&gt;=Simulation!$D$5,$B9&lt;Simulation!$D$6),IF(Simulation!$D$3=1,LOOKUP($B9,Info_cas_type!$B$5:$B$55,Info_cas_type!$C$5:$C$55)*LOOKUP($A9,Barèmes!$A$65:$A$148,Barèmes!$D$65:$D$148),IF(Simulation!$D$3=2,LOOKUP($B9,Info_cas_type!$B$5:$B$55,Info_cas_type!$D$5:$D$55)*LOOKUP($A9,Barèmes!$A$65:$A$148,Barèmes!$D$65:$D$148),IF(Simulation!$D$3="2P",LOOKUP($B9,Info_cas_type!$B$5:$B$55,Info_cas_type!$E$5:$E$55)*LOOKUP($A9,Barèmes!$A$65:$A$148,Barèmes!$D$65:$D$148),IF(Simulation!$D$3="2M",LOOKUP($B9,Info_cas_type!$B$5:$B$55,Info_cas_type!$F$5:$F$55)*LOOKUP($A9,Barèmes!$A$65:$A$148,Barèmes!$D$65:$D$148),IF(Simulation!$D$3="SMIC",LOOKUP($A9,Barèmes!$A$65:$A$148,Barèmes!$F$65:$F$148),LOOKUP($B9,Info_cas_type!$B$5:$B$55,Info_cas_type!$G$5:$G$55)*LOOKUP($A9,Barèmes!$A$65:$A$148,Barèmes!$D$65:$D$148)))))),0)*LOOKUP($B9,Info_cas_type!$B$5:$B$55,Info_cas_type!$H$5:$H$55)</f>
        <v>0</v>
      </c>
      <c r="D9" s="56">
        <f>MIN($C9,LOOKUP($A9,Barèmes!$A$65:$A$148,Barèmes!$V$65:$V$148))</f>
        <v>0</v>
      </c>
      <c r="E9" s="56">
        <f>MIN(F9,7*LOOKUP($A9,Barèmes!$A$65:$A$148,Barèmes!$V$65:$V$148))</f>
        <v>0</v>
      </c>
      <c r="F9" s="56">
        <f>IF($C9&gt;LOOKUP($A9,Barèmes!$A$65:$A$148,Barèmes!$V$65:$V$148),($C9-LOOKUP($A9,Barèmes!$A$65:$A$148,Barèmes!$V$65:$V$148)),0)</f>
        <v>0</v>
      </c>
      <c r="H9" s="81">
        <f t="shared" si="0"/>
        <v>0</v>
      </c>
      <c r="I9" s="56">
        <f>H9+LOOKUP($A9,Barèmes!$A$5:$A$148,Barèmes!$CK$5:$CK$148)*C9*(LOOKUP($A9,Barèmes!$CG$65:$CG$148,Barèmes!$CH$65:$CH$148)-LOOKUP($A9,Barèmes!$CG$65:$CG$148,Barèmes!$CI$65:$CI$148))</f>
        <v>0</v>
      </c>
      <c r="K9" s="320">
        <f>LOOKUP($A9,Barèmes!$A$65:$A$148,Barèmes!$K$65:$K$148)-LOOKUP($A9,Barèmes!$A$65:$A$148,Barèmes!$L$65:$L$148)+(LOOKUP($A9,Barèmes!$A$65:$A$148,Barèmes!$AC$65:$AC$148)-LOOKUP($A9,Barèmes!$A$65:$A$148,Barèmes!$AD$65:$AD$148))*LOOKUP($A9,Barèmes!$A$65:$A$148,Barèmes!$AI$65:$AI$148)+LOOKUP($A9,Barèmes!$A$65:$A$148,Barèmes!$AQ$65:$AQ$148)-LOOKUP($A9,Barèmes!$A$65:$A$148,Barèmes!$AR$65:$AR$148)+LOOKUP($A9,Barèmes!$A$65:$A$148,Barèmes!$CL$65:$CL$148)+LOOKUP($A9,Barèmes!$A$65:$A$148,Barèmes!$CM$65:$CM$148)+LOOKUP($A9,Barèmes!$A$5:$A$148,Barèmes!$CK$5:$CK$148)*(LOOKUP($A9,Barèmes!$A$65:$A$148,Barèmes!$CH$65:$CH$148)+LOOKUP($A9,Barèmes!$A$65:$A$148,Barèmes!$CJ$65:$CJ$148))</f>
        <v>0.20839849999999999</v>
      </c>
      <c r="L9" s="320">
        <f>K9+LOOKUP($A9,Barèmes!$A$65:$A$148,Barèmes!$AL$65:$AL$148)-LOOKUP($A9,Barèmes!$A$65:$A$148,Barèmes!$AM$65:$AM$148)+IF($A9&gt;2010,LOOKUP($A9,Barèmes!$CG$5:$CG$148,Barèmes!$CO$5:$CO$148),0)</f>
        <v>0.21003849999999999</v>
      </c>
      <c r="M9" s="320">
        <f>(LOOKUP($A9,Barèmes!$A$65:$A$148,Barèmes!$AF$65:$AF$148)-LOOKUP($A9,Barèmes!$A$65:$A$148,Barèmes!$AG$65:$AG$148))*LOOKUP($A9,Barèmes!$A$65:$A$148,Barèmes!$AI$65:$AI$148)+LOOKUP($A9,Barèmes!$A$65:$A$148,Barèmes!$AL$65:$AL$148)-LOOKUP($A9,Barèmes!$A$65:$A$148,Barèmes!$AM$65:$AM$148)+LOOKUP($A9,Barèmes!$A$65:$A$148,Barèmes!$AV$65:$AV$148)-LOOKUP($A9,Barèmes!$A$65:$A$148,Barèmes!$AW$65:$AW$148)+LOOKUP($A9,Barèmes!$A$65:$A$148,Barèmes!$CN$65:$CN$148)+LOOKUP($A9,Barèmes!$A$65:$A$148,Barèmes!$CO$65:$CO$148)</f>
        <v>9.8799999999999999E-2</v>
      </c>
      <c r="N9" s="320">
        <f>LOOKUP($A9,Barèmes!$A$65:$A$148,Barèmes!$N$65:$N$148)-LOOKUP($A9,Barèmes!$A$65:$A$148,Barèmes!O67:O150)+0.9825*LOOKUP($A9,Barèmes!$A$65:$A$148,Barèmes!$CH$65:$CH$148)+0.9825*LOOKUP($A9,Barèmes!$A$65:$A$148,Barèmes!$CJ$65:$CJ$148)+LOOKUP($A9,Barèmes!$A$65:$A$148,Barèmes!$CL$65:$CL$148)</f>
        <v>9.9302500000000002E-2</v>
      </c>
      <c r="P9" s="321">
        <f>C9/LOOKUP($A9,Barèmes!$A$65:$A$148,Barèmes!$C$65:$C$148)</f>
        <v>0</v>
      </c>
      <c r="Q9" s="321">
        <f>H9/LOOKUP($A9,Barèmes!$A$65:$A$148,Barèmes!$C$65:$C$148)</f>
        <v>0</v>
      </c>
      <c r="R9" s="321">
        <f>I9/LOOKUP($A9,Barèmes!$A$65:$A$148,Barèmes!$C$65:$C$148)</f>
        <v>0</v>
      </c>
      <c r="T9" s="321">
        <f>C9/LOOKUP($A9,Barèmes!$A$65:$A$148,Barèmes!$G$65:$G$148)</f>
        <v>0</v>
      </c>
      <c r="U9" s="321">
        <f>H9/LOOKUP($A9,Barèmes!$A$65:$A$148,Barèmes!$G$65:$G$148)</f>
        <v>0</v>
      </c>
      <c r="V9" s="321">
        <f>I9/LOOKUP($A9,Barèmes!$A$65:$A$148,Barèmes!$G$65:$G$148)</f>
        <v>0</v>
      </c>
      <c r="Y9" s="95">
        <v>1</v>
      </c>
      <c r="Z9" s="280">
        <f>IF($Y9=1,IF(I9&lt;LOOKUP($A9,Barèmes!$AB$65:$AB$148,Barèmes!$BM$65:$BM$148),LOOKUP($A9,Barèmes!$AB$65:$AB$148,Barèmes!$BQ$65:$BQ$148),IF(I9&lt;LOOKUP($A9,Barèmes!$AB$65:$AB$148,Barèmes!$BN$65:$BN$148),LOOKUP($A9,Barèmes!$AB$65:$AB$148,Barèmes!$BR$65:$BR$148),IF(I9&lt;LOOKUP($A9,Barèmes!$AB$65:$AB$148,Barèmes!$BO$65:$BO$148),LOOKUP($A9,Barèmes!$AB$65:$AB$148,Barèmes!$BS$65:$BS$148),LOOKUP($A9,Barèmes!$AB$65:$AB$148,Barèmes!$BT$65:$BT$148)))),IF($Y9=2,IF(I9&lt;LOOKUP($A9,Barèmes!$AB$65:$AB$148,Barèmes!$BW$65:$BW$148),LOOKUP($A9,Barèmes!$AB$65:$AB$148,Barèmes!$CA$65:$CA$148),IF(I9&lt;LOOKUP($A9,Barèmes!$AB$65:$AB$148,Barèmes!$BX$65:$BX$148),LOOKUP($A9,Barèmes!$AB$65:$AB$148,Barèmes!$CB$65:$CB$148),IF(I9&lt;LOOKUP($A9,Barèmes!$AB$65:$AB$148,Barèmes!$BY$65:$BY$148),LOOKUP($A9,Barèmes!$AB$65:$AB$148,Barèmes!$CC$65:$CC150),LOOKUP($A9,Barèmes!$AB$65:$AB$148,Barèmes!$CD$65:$CD$148))))))</f>
        <v>0</v>
      </c>
    </row>
    <row r="10" spans="1:26" x14ac:dyDescent="0.25">
      <c r="A10" s="15">
        <f>B10+Simulation!$D$4</f>
        <v>2020</v>
      </c>
      <c r="B10" s="19">
        <v>20</v>
      </c>
      <c r="C10" s="77">
        <f>IF(AND($B10&gt;=Simulation!$D$5,$B10&lt;Simulation!$D$6),IF(Simulation!$D$3=1,LOOKUP($B10,Info_cas_type!$B$5:$B$55,Info_cas_type!$C$5:$C$55)*LOOKUP($A10,Barèmes!$A$65:$A$148,Barèmes!$D$65:$D$148),IF(Simulation!$D$3=2,LOOKUP($B10,Info_cas_type!$B$5:$B$55,Info_cas_type!$D$5:$D$55)*LOOKUP($A10,Barèmes!$A$65:$A$148,Barèmes!$D$65:$D$148),IF(Simulation!$D$3="2P",LOOKUP($B10,Info_cas_type!$B$5:$B$55,Info_cas_type!$E$5:$E$55)*LOOKUP($A10,Barèmes!$A$65:$A$148,Barèmes!$D$65:$D$148),IF(Simulation!$D$3="2M",LOOKUP($B10,Info_cas_type!$B$5:$B$55,Info_cas_type!$F$5:$F$55)*LOOKUP($A10,Barèmes!$A$65:$A$148,Barèmes!$D$65:$D$148),IF(Simulation!$D$3="SMIC",LOOKUP($A10,Barèmes!$A$65:$A$148,Barèmes!$F$65:$F$148),LOOKUP($B10,Info_cas_type!$B$5:$B$55,Info_cas_type!$G$5:$G$55)*LOOKUP($A10,Barèmes!$A$65:$A$148,Barèmes!$D$65:$D$148)))))),0)*LOOKUP($B10,Info_cas_type!$B$5:$B$55,Info_cas_type!$H$5:$H$55)</f>
        <v>0</v>
      </c>
      <c r="D10" s="56">
        <f>MIN($C10,LOOKUP($A10,Barèmes!$A$65:$A$148,Barèmes!$V$65:$V$148))</f>
        <v>0</v>
      </c>
      <c r="E10" s="56">
        <f>MIN(F10,7*LOOKUP($A10,Barèmes!$A$65:$A$148,Barèmes!$V$65:$V$148))</f>
        <v>0</v>
      </c>
      <c r="F10" s="56">
        <f>IF($C10&gt;LOOKUP($A10,Barèmes!$A$65:$A$148,Barèmes!$V$65:$V$148),($C10-LOOKUP($A10,Barèmes!$A$65:$A$148,Barèmes!$V$65:$V$148)),0)</f>
        <v>0</v>
      </c>
      <c r="H10" s="81">
        <f t="shared" si="0"/>
        <v>0</v>
      </c>
      <c r="I10" s="56">
        <f>H10+LOOKUP($A10,Barèmes!$A$5:$A$148,Barèmes!$CK$5:$CK$148)*C10*(LOOKUP($A10,Barèmes!$CG$65:$CG$148,Barèmes!$CH$65:$CH$148)-LOOKUP($A10,Barèmes!$CG$65:$CG$148,Barèmes!$CI$65:$CI$148))</f>
        <v>0</v>
      </c>
      <c r="K10" s="320">
        <f>LOOKUP($A10,Barèmes!$A$65:$A$148,Barèmes!$K$65:$K$148)-LOOKUP($A10,Barèmes!$A$65:$A$148,Barèmes!$L$65:$L$148)+(LOOKUP($A10,Barèmes!$A$65:$A$148,Barèmes!$AC$65:$AC$148)-LOOKUP($A10,Barèmes!$A$65:$A$148,Barèmes!$AD$65:$AD$148))*LOOKUP($A10,Barèmes!$A$65:$A$148,Barèmes!$AI$65:$AI$148)+LOOKUP($A10,Barèmes!$A$65:$A$148,Barèmes!$AQ$65:$AQ$148)-LOOKUP($A10,Barèmes!$A$65:$A$148,Barèmes!$AR$65:$AR$148)+LOOKUP($A10,Barèmes!$A$65:$A$148,Barèmes!$CL$65:$CL$148)+LOOKUP($A10,Barèmes!$A$65:$A$148,Barèmes!$CM$65:$CM$148)+LOOKUP($A10,Barèmes!$A$5:$A$148,Barèmes!$CK$5:$CK$148)*(LOOKUP($A10,Barèmes!$A$65:$A$148,Barèmes!$CH$65:$CH$148)+LOOKUP($A10,Barèmes!$A$65:$A$148,Barèmes!$CJ$65:$CJ$148))</f>
        <v>0.20839849999999999</v>
      </c>
      <c r="L10" s="320">
        <f>K10+LOOKUP($A10,Barèmes!$A$65:$A$148,Barèmes!$AL$65:$AL$148)-LOOKUP($A10,Barèmes!$A$65:$A$148,Barèmes!$AM$65:$AM$148)+IF($A10&gt;2010,LOOKUP($A10,Barèmes!$CG$5:$CG$148,Barèmes!$CO$5:$CO$148),0)</f>
        <v>0.21003849999999999</v>
      </c>
      <c r="M10" s="320">
        <f>(LOOKUP($A10,Barèmes!$A$65:$A$148,Barèmes!$AF$65:$AF$148)-LOOKUP($A10,Barèmes!$A$65:$A$148,Barèmes!$AG$65:$AG$148))*LOOKUP($A10,Barèmes!$A$65:$A$148,Barèmes!$AI$65:$AI$148)+LOOKUP($A10,Barèmes!$A$65:$A$148,Barèmes!$AL$65:$AL$148)-LOOKUP($A10,Barèmes!$A$65:$A$148,Barèmes!$AM$65:$AM$148)+LOOKUP($A10,Barèmes!$A$65:$A$148,Barèmes!$AV$65:$AV$148)-LOOKUP($A10,Barèmes!$A$65:$A$148,Barèmes!$AW$65:$AW$148)+LOOKUP($A10,Barèmes!$A$65:$A$148,Barèmes!$CN$65:$CN$148)+LOOKUP($A10,Barèmes!$A$65:$A$148,Barèmes!$CO$65:$CO$148)</f>
        <v>9.8799999999999999E-2</v>
      </c>
      <c r="N10" s="320">
        <f>LOOKUP($A10,Barèmes!$A$65:$A$148,Barèmes!$N$65:$N$148)-LOOKUP($A10,Barèmes!$A$65:$A$148,Barèmes!O68:O151)+0.9825*LOOKUP($A10,Barèmes!$A$65:$A$148,Barèmes!$CH$65:$CH$148)+0.9825*LOOKUP($A10,Barèmes!$A$65:$A$148,Barèmes!$CJ$65:$CJ$148)+LOOKUP($A10,Barèmes!$A$65:$A$148,Barèmes!$CL$65:$CL$148)</f>
        <v>9.9302500000000002E-2</v>
      </c>
      <c r="P10" s="321">
        <f>C10/LOOKUP($A10,Barèmes!$A$65:$A$148,Barèmes!$C$65:$C$148)</f>
        <v>0</v>
      </c>
      <c r="Q10" s="321">
        <f>H10/LOOKUP($A10,Barèmes!$A$65:$A$148,Barèmes!$C$65:$C$148)</f>
        <v>0</v>
      </c>
      <c r="R10" s="321">
        <f>I10/LOOKUP($A10,Barèmes!$A$65:$A$148,Barèmes!$C$65:$C$148)</f>
        <v>0</v>
      </c>
      <c r="T10" s="321">
        <f>C10/LOOKUP($A10,Barèmes!$A$65:$A$148,Barèmes!$G$65:$G$148)</f>
        <v>0</v>
      </c>
      <c r="U10" s="321">
        <f>H10/LOOKUP($A10,Barèmes!$A$65:$A$148,Barèmes!$G$65:$G$148)</f>
        <v>0</v>
      </c>
      <c r="V10" s="321">
        <f>I10/LOOKUP($A10,Barèmes!$A$65:$A$148,Barèmes!$G$65:$G$148)</f>
        <v>0</v>
      </c>
      <c r="Y10" s="95">
        <v>1</v>
      </c>
      <c r="Z10" s="280">
        <f>IF($Y10=1,IF(I10&lt;LOOKUP($A10,Barèmes!$AB$65:$AB$148,Barèmes!$BM$65:$BM$148),LOOKUP($A10,Barèmes!$AB$65:$AB$148,Barèmes!$BQ$65:$BQ$148),IF(I10&lt;LOOKUP($A10,Barèmes!$AB$65:$AB$148,Barèmes!$BN$65:$BN$148),LOOKUP($A10,Barèmes!$AB$65:$AB$148,Barèmes!$BR$65:$BR$148),IF(I10&lt;LOOKUP($A10,Barèmes!$AB$65:$AB$148,Barèmes!$BO$65:$BO$148),LOOKUP($A10,Barèmes!$AB$65:$AB$148,Barèmes!$BS$65:$BS$148),LOOKUP($A10,Barèmes!$AB$65:$AB$148,Barèmes!$BT$65:$BT$148)))),IF($Y10=2,IF(I10&lt;LOOKUP($A10,Barèmes!$AB$65:$AB$148,Barèmes!$BW$65:$BW$148),LOOKUP($A10,Barèmes!$AB$65:$AB$148,Barèmes!$CA$65:$CA$148),IF(I10&lt;LOOKUP($A10,Barèmes!$AB$65:$AB$148,Barèmes!$BX$65:$BX$148),LOOKUP($A10,Barèmes!$AB$65:$AB$148,Barèmes!$CB$65:$CB$148),IF(I10&lt;LOOKUP($A10,Barèmes!$AB$65:$AB$148,Barèmes!$BY$65:$BY$148),LOOKUP($A10,Barèmes!$AB$65:$AB$148,Barèmes!$CC$65:$CC151),LOOKUP($A10,Barèmes!$AB$65:$AB$148,Barèmes!$CD$65:$CD$148))))))</f>
        <v>0</v>
      </c>
    </row>
    <row r="11" spans="1:26" x14ac:dyDescent="0.25">
      <c r="A11" s="15">
        <f>B11+Simulation!$D$4</f>
        <v>2021</v>
      </c>
      <c r="B11" s="19">
        <v>21</v>
      </c>
      <c r="C11" s="77">
        <f>IF(AND($B11&gt;=Simulation!$D$5,$B11&lt;Simulation!$D$6),IF(Simulation!$D$3=1,LOOKUP($B11,Info_cas_type!$B$5:$B$55,Info_cas_type!$C$5:$C$55)*LOOKUP($A11,Barèmes!$A$65:$A$148,Barèmes!$D$65:$D$148),IF(Simulation!$D$3=2,LOOKUP($B11,Info_cas_type!$B$5:$B$55,Info_cas_type!$D$5:$D$55)*LOOKUP($A11,Barèmes!$A$65:$A$148,Barèmes!$D$65:$D$148),IF(Simulation!$D$3="2P",LOOKUP($B11,Info_cas_type!$B$5:$B$55,Info_cas_type!$E$5:$E$55)*LOOKUP($A11,Barèmes!$A$65:$A$148,Barèmes!$D$65:$D$148),IF(Simulation!$D$3="2M",LOOKUP($B11,Info_cas_type!$B$5:$B$55,Info_cas_type!$F$5:$F$55)*LOOKUP($A11,Barèmes!$A$65:$A$148,Barèmes!$D$65:$D$148),IF(Simulation!$D$3="SMIC",LOOKUP($A11,Barèmes!$A$65:$A$148,Barèmes!$F$65:$F$148),LOOKUP($B11,Info_cas_type!$B$5:$B$55,Info_cas_type!$G$5:$G$55)*LOOKUP($A11,Barèmes!$A$65:$A$148,Barèmes!$D$65:$D$148)))))),0)*LOOKUP($B11,Info_cas_type!$B$5:$B$55,Info_cas_type!$H$5:$H$55)</f>
        <v>14528.510636454192</v>
      </c>
      <c r="D11" s="56">
        <f>MIN($C11,LOOKUP($A11,Barèmes!$A$65:$A$148,Barèmes!$V$65:$V$148))</f>
        <v>14528.510636454192</v>
      </c>
      <c r="E11" s="56">
        <f>MIN(F11,7*LOOKUP($A11,Barèmes!$A$65:$A$148,Barèmes!$V$65:$V$148))</f>
        <v>0</v>
      </c>
      <c r="F11" s="56">
        <f>IF($C11&gt;LOOKUP($A11,Barèmes!$A$65:$A$148,Barèmes!$V$65:$V$148),($C11-LOOKUP($A11,Barèmes!$A$65:$A$148,Barèmes!$V$65:$V$148)),0)</f>
        <v>0</v>
      </c>
      <c r="H11" s="81">
        <f t="shared" si="0"/>
        <v>11500.790812583095</v>
      </c>
      <c r="I11" s="56">
        <f>H11+LOOKUP($A11,Barèmes!$A$5:$A$148,Barèmes!$CK$5:$CK$148)*C11*(LOOKUP($A11,Barèmes!$CG$65:$CG$148,Barèmes!$CH$65:$CH$148)-LOOKUP($A11,Barèmes!$CG$65:$CG$148,Barèmes!$CI$65:$CI$148))</f>
        <v>11843.373093390685</v>
      </c>
      <c r="K11" s="320">
        <f>LOOKUP($A11,Barèmes!$A$65:$A$148,Barèmes!$K$65:$K$148)-LOOKUP($A11,Barèmes!$A$65:$A$148,Barèmes!$L$65:$L$148)+(LOOKUP($A11,Barèmes!$A$65:$A$148,Barèmes!$AC$65:$AC$148)-LOOKUP($A11,Barèmes!$A$65:$A$148,Barèmes!$AD$65:$AD$148))*LOOKUP($A11,Barèmes!$A$65:$A$148,Barèmes!$AI$65:$AI$148)+LOOKUP($A11,Barèmes!$A$65:$A$148,Barèmes!$AQ$65:$AQ$148)-LOOKUP($A11,Barèmes!$A$65:$A$148,Barèmes!$AR$65:$AR$148)+LOOKUP($A11,Barèmes!$A$65:$A$148,Barèmes!$CL$65:$CL$148)+LOOKUP($A11,Barèmes!$A$65:$A$148,Barèmes!$CM$65:$CM$148)+LOOKUP($A11,Barèmes!$A$5:$A$148,Barèmes!$CK$5:$CK$148)*(LOOKUP($A11,Barèmes!$A$65:$A$148,Barèmes!$CH$65:$CH$148)+LOOKUP($A11,Barèmes!$A$65:$A$148,Barèmes!$CJ$65:$CJ$148))</f>
        <v>0.20839849999999999</v>
      </c>
      <c r="L11" s="320">
        <f>K11+LOOKUP($A11,Barèmes!$A$65:$A$148,Barèmes!$AL$65:$AL$148)-LOOKUP($A11,Barèmes!$A$65:$A$148,Barèmes!$AM$65:$AM$148)+IF($A11&gt;2010,LOOKUP($A11,Barèmes!$CG$5:$CG$148,Barèmes!$CO$5:$CO$148),0)</f>
        <v>0.21003849999999999</v>
      </c>
      <c r="M11" s="320">
        <f>(LOOKUP($A11,Barèmes!$A$65:$A$148,Barèmes!$AF$65:$AF$148)-LOOKUP($A11,Barèmes!$A$65:$A$148,Barèmes!$AG$65:$AG$148))*LOOKUP($A11,Barèmes!$A$65:$A$148,Barèmes!$AI$65:$AI$148)+LOOKUP($A11,Barèmes!$A$65:$A$148,Barèmes!$AL$65:$AL$148)-LOOKUP($A11,Barèmes!$A$65:$A$148,Barèmes!$AM$65:$AM$148)+LOOKUP($A11,Barèmes!$A$65:$A$148,Barèmes!$AV$65:$AV$148)-LOOKUP($A11,Barèmes!$A$65:$A$148,Barèmes!$AW$65:$AW$148)+LOOKUP($A11,Barèmes!$A$65:$A$148,Barèmes!$CN$65:$CN$148)+LOOKUP($A11,Barèmes!$A$65:$A$148,Barèmes!$CO$65:$CO$148)</f>
        <v>9.8799999999999999E-2</v>
      </c>
      <c r="N11" s="320">
        <f>LOOKUP($A11,Barèmes!$A$65:$A$148,Barèmes!$N$65:$N$148)-LOOKUP($A11,Barèmes!$A$65:$A$148,Barèmes!O69:O152)+0.9825*LOOKUP($A11,Barèmes!$A$65:$A$148,Barèmes!$CH$65:$CH$148)+0.9825*LOOKUP($A11,Barèmes!$A$65:$A$148,Barèmes!$CJ$65:$CJ$148)+LOOKUP($A11,Barèmes!$A$65:$A$148,Barèmes!$CL$65:$CL$148)</f>
        <v>9.9302500000000002E-2</v>
      </c>
      <c r="P11" s="321">
        <f>C11/LOOKUP($A11,Barèmes!$A$65:$A$148,Barèmes!$C$65:$C$148)</f>
        <v>14528.510636454192</v>
      </c>
      <c r="Q11" s="321">
        <f>H11/LOOKUP($A11,Barèmes!$A$65:$A$148,Barèmes!$C$65:$C$148)</f>
        <v>11500.790812583095</v>
      </c>
      <c r="R11" s="321">
        <f>I11/LOOKUP($A11,Barèmes!$A$65:$A$148,Barèmes!$C$65:$C$148)</f>
        <v>11843.373093390685</v>
      </c>
      <c r="T11" s="321">
        <f>C11/LOOKUP($A11,Barèmes!$A$65:$A$148,Barèmes!$G$65:$G$148)</f>
        <v>13951.879458436993</v>
      </c>
      <c r="U11" s="321">
        <f>H11/LOOKUP($A11,Barèmes!$A$65:$A$148,Barèmes!$G$65:$G$148)</f>
        <v>11044.328707117913</v>
      </c>
      <c r="V11" s="321">
        <f>I11/LOOKUP($A11,Barèmes!$A$65:$A$148,Barèmes!$G$65:$G$148)</f>
        <v>11373.314024747857</v>
      </c>
      <c r="Y11" s="95">
        <v>1</v>
      </c>
      <c r="Z11" s="280">
        <f>IF($Y11=1,IF(I11&lt;LOOKUP($A11,Barèmes!$AB$65:$AB$148,Barèmes!$BM$65:$BM$148),LOOKUP($A11,Barèmes!$AB$65:$AB$148,Barèmes!$BQ$65:$BQ$148),IF(I11&lt;LOOKUP($A11,Barèmes!$AB$65:$AB$148,Barèmes!$BN$65:$BN$148),LOOKUP($A11,Barèmes!$AB$65:$AB$148,Barèmes!$BR$65:$BR$148),IF(I11&lt;LOOKUP($A11,Barèmes!$AB$65:$AB$148,Barèmes!$BO$65:$BO$148),LOOKUP($A11,Barèmes!$AB$65:$AB$148,Barèmes!$BS$65:$BS$148),LOOKUP($A11,Barèmes!$AB$65:$AB$148,Barèmes!$BT$65:$BT$148)))),IF($Y11=2,IF(I11&lt;LOOKUP($A11,Barèmes!$AB$65:$AB$148,Barèmes!$BW$65:$BW$148),LOOKUP($A11,Barèmes!$AB$65:$AB$148,Barèmes!$CA$65:$CA$148),IF(I11&lt;LOOKUP($A11,Barèmes!$AB$65:$AB$148,Barèmes!$BX$65:$BX$148),LOOKUP($A11,Barèmes!$AB$65:$AB$148,Barèmes!$CB$65:$CB$148),IF(I11&lt;LOOKUP($A11,Barèmes!$AB$65:$AB$148,Barèmes!$BY$65:$BY$148),LOOKUP($A11,Barèmes!$AB$65:$AB$148,Barèmes!$CC$65:$CC152),LOOKUP($A11,Barèmes!$AB$65:$AB$148,Barèmes!$CD$65:$CD$148))))))</f>
        <v>4.2999999999999997E-2</v>
      </c>
    </row>
    <row r="12" spans="1:26" x14ac:dyDescent="0.25">
      <c r="A12" s="15">
        <f>B12+Simulation!$D$4</f>
        <v>2022</v>
      </c>
      <c r="B12" s="19">
        <v>22</v>
      </c>
      <c r="C12" s="77">
        <f>IF(AND($B12&gt;=Simulation!$D$5,$B12&lt;Simulation!$D$6),IF(Simulation!$D$3=1,LOOKUP($B12,Info_cas_type!$B$5:$B$55,Info_cas_type!$C$5:$C$55)*LOOKUP($A12,Barèmes!$A$65:$A$148,Barèmes!$D$65:$D$148),IF(Simulation!$D$3=2,LOOKUP($B12,Info_cas_type!$B$5:$B$55,Info_cas_type!$D$5:$D$55)*LOOKUP($A12,Barèmes!$A$65:$A$148,Barèmes!$D$65:$D$148),IF(Simulation!$D$3="2P",LOOKUP($B12,Info_cas_type!$B$5:$B$55,Info_cas_type!$E$5:$E$55)*LOOKUP($A12,Barèmes!$A$65:$A$148,Barèmes!$D$65:$D$148),IF(Simulation!$D$3="2M",LOOKUP($B12,Info_cas_type!$B$5:$B$55,Info_cas_type!$F$5:$F$55)*LOOKUP($A12,Barèmes!$A$65:$A$148,Barèmes!$D$65:$D$148),IF(Simulation!$D$3="SMIC",LOOKUP($A12,Barèmes!$A$65:$A$148,Barèmes!$F$65:$F$148),LOOKUP($B12,Info_cas_type!$B$5:$B$55,Info_cas_type!$G$5:$G$55)*LOOKUP($A12,Barèmes!$A$65:$A$148,Barèmes!$D$65:$D$148)))))),0)*LOOKUP($B12,Info_cas_type!$B$5:$B$55,Info_cas_type!$H$5:$H$55)</f>
        <v>17369.595885554852</v>
      </c>
      <c r="D12" s="56">
        <f>MIN($C12,LOOKUP($A12,Barèmes!$A$65:$A$148,Barèmes!$V$65:$V$148))</f>
        <v>17369.595885554852</v>
      </c>
      <c r="E12" s="56">
        <f>MIN(F12,7*LOOKUP($A12,Barèmes!$A$65:$A$148,Barèmes!$V$65:$V$148))</f>
        <v>0</v>
      </c>
      <c r="F12" s="56">
        <f>IF($C12&gt;LOOKUP($A12,Barèmes!$A$65:$A$148,Barèmes!$V$65:$V$148),($C12-LOOKUP($A12,Barèmes!$A$65:$A$148,Barèmes!$V$65:$V$148)),0)</f>
        <v>0</v>
      </c>
      <c r="H12" s="81">
        <f t="shared" si="0"/>
        <v>13749.798157399051</v>
      </c>
      <c r="I12" s="56">
        <f>H12+LOOKUP($A12,Barèmes!$A$5:$A$148,Barèmes!$CK$5:$CK$148)*C12*(LOOKUP($A12,Barèmes!$CG$65:$CG$148,Barèmes!$CH$65:$CH$148)-LOOKUP($A12,Barèmes!$CG$65:$CG$148,Barèmes!$CI$65:$CI$148))</f>
        <v>14159.373228380435</v>
      </c>
      <c r="K12" s="320">
        <f>LOOKUP($A12,Barèmes!$A$65:$A$148,Barèmes!$K$65:$K$148)-LOOKUP($A12,Barèmes!$A$65:$A$148,Barèmes!$L$65:$L$148)+(LOOKUP($A12,Barèmes!$A$65:$A$148,Barèmes!$AC$65:$AC$148)-LOOKUP($A12,Barèmes!$A$65:$A$148,Barèmes!$AD$65:$AD$148))*LOOKUP($A12,Barèmes!$A$65:$A$148,Barèmes!$AI$65:$AI$148)+LOOKUP($A12,Barèmes!$A$65:$A$148,Barèmes!$AQ$65:$AQ$148)-LOOKUP($A12,Barèmes!$A$65:$A$148,Barèmes!$AR$65:$AR$148)+LOOKUP($A12,Barèmes!$A$65:$A$148,Barèmes!$CL$65:$CL$148)+LOOKUP($A12,Barèmes!$A$65:$A$148,Barèmes!$CM$65:$CM$148)+LOOKUP($A12,Barèmes!$A$5:$A$148,Barèmes!$CK$5:$CK$148)*(LOOKUP($A12,Barèmes!$A$65:$A$148,Barèmes!$CH$65:$CH$148)+LOOKUP($A12,Barèmes!$A$65:$A$148,Barèmes!$CJ$65:$CJ$148))</f>
        <v>0.20839849999999999</v>
      </c>
      <c r="L12" s="320">
        <f>K12+LOOKUP($A12,Barèmes!$A$65:$A$148,Barèmes!$AL$65:$AL$148)-LOOKUP($A12,Barèmes!$A$65:$A$148,Barèmes!$AM$65:$AM$148)+IF($A12&gt;2010,LOOKUP($A12,Barèmes!$CG$5:$CG$148,Barèmes!$CO$5:$CO$148),0)</f>
        <v>0.21003849999999999</v>
      </c>
      <c r="M12" s="320">
        <f>(LOOKUP($A12,Barèmes!$A$65:$A$148,Barèmes!$AF$65:$AF$148)-LOOKUP($A12,Barèmes!$A$65:$A$148,Barèmes!$AG$65:$AG$148))*LOOKUP($A12,Barèmes!$A$65:$A$148,Barèmes!$AI$65:$AI$148)+LOOKUP($A12,Barèmes!$A$65:$A$148,Barèmes!$AL$65:$AL$148)-LOOKUP($A12,Barèmes!$A$65:$A$148,Barèmes!$AM$65:$AM$148)+LOOKUP($A12,Barèmes!$A$65:$A$148,Barèmes!$AV$65:$AV$148)-LOOKUP($A12,Barèmes!$A$65:$A$148,Barèmes!$AW$65:$AW$148)+LOOKUP($A12,Barèmes!$A$65:$A$148,Barèmes!$CN$65:$CN$148)+LOOKUP($A12,Barèmes!$A$65:$A$148,Barèmes!$CO$65:$CO$148)</f>
        <v>9.8799999999999999E-2</v>
      </c>
      <c r="N12" s="320">
        <f>LOOKUP($A12,Barèmes!$A$65:$A$148,Barèmes!$N$65:$N$148)-LOOKUP($A12,Barèmes!$A$65:$A$148,Barèmes!O70:O153)+0.9825*LOOKUP($A12,Barèmes!$A$65:$A$148,Barèmes!$CH$65:$CH$148)+0.9825*LOOKUP($A12,Barèmes!$A$65:$A$148,Barèmes!$CJ$65:$CJ$148)+LOOKUP($A12,Barèmes!$A$65:$A$148,Barèmes!$CL$65:$CL$148)</f>
        <v>9.9302500000000002E-2</v>
      </c>
      <c r="P12" s="321">
        <f>C12/LOOKUP($A12,Barèmes!$A$65:$A$148,Barèmes!$C$65:$C$148)</f>
        <v>17231.741949955209</v>
      </c>
      <c r="Q12" s="321">
        <f>H12/LOOKUP($A12,Barèmes!$A$65:$A$148,Barèmes!$C$65:$C$148)</f>
        <v>13640.67277519747</v>
      </c>
      <c r="R12" s="321">
        <f>I12/LOOKUP($A12,Barèmes!$A$65:$A$148,Barèmes!$C$65:$C$148)</f>
        <v>14046.997250377415</v>
      </c>
      <c r="T12" s="321">
        <f>C12/LOOKUP($A12,Barèmes!$A$65:$A$148,Barèmes!$G$65:$G$148)</f>
        <v>16271.209958261074</v>
      </c>
      <c r="U12" s="321">
        <f>H12/LOOKUP($A12,Barèmes!$A$65:$A$148,Barèmes!$G$65:$G$148)</f>
        <v>12880.314209774404</v>
      </c>
      <c r="V12" s="321">
        <f>I12/LOOKUP($A12,Barèmes!$A$65:$A$148,Barèmes!$G$65:$G$148)</f>
        <v>13263.9893405902</v>
      </c>
      <c r="Y12" s="95">
        <v>1</v>
      </c>
      <c r="Z12" s="280">
        <f>IF($Y12=1,IF(I12&lt;LOOKUP($A12,Barèmes!$AB$65:$AB$148,Barèmes!$BM$65:$BM$148),LOOKUP($A12,Barèmes!$AB$65:$AB$148,Barèmes!$BQ$65:$BQ$148),IF(I12&lt;LOOKUP($A12,Barèmes!$AB$65:$AB$148,Barèmes!$BN$65:$BN$148),LOOKUP($A12,Barèmes!$AB$65:$AB$148,Barèmes!$BR$65:$BR$148),IF(I12&lt;LOOKUP($A12,Barèmes!$AB$65:$AB$148,Barèmes!$BO$65:$BO$148),LOOKUP($A12,Barèmes!$AB$65:$AB$148,Barèmes!$BS$65:$BS$148),LOOKUP($A12,Barèmes!$AB$65:$AB$148,Barèmes!$BT$65:$BT$148)))),IF($Y12=2,IF(I12&lt;LOOKUP($A12,Barèmes!$AB$65:$AB$148,Barèmes!$BW$65:$BW$148),LOOKUP($A12,Barèmes!$AB$65:$AB$148,Barèmes!$CA$65:$CA$148),IF(I12&lt;LOOKUP($A12,Barèmes!$AB$65:$AB$148,Barèmes!$BX$65:$BX$148),LOOKUP($A12,Barèmes!$AB$65:$AB$148,Barèmes!$CB$65:$CB$148),IF(I12&lt;LOOKUP($A12,Barèmes!$AB$65:$AB$148,Barèmes!$BY$65:$BY$148),LOOKUP($A12,Barèmes!$AB$65:$AB$148,Barèmes!$CC$65:$CC153),LOOKUP($A12,Barèmes!$AB$65:$AB$148,Barèmes!$CD$65:$CD$148))))))</f>
        <v>4.2999999999999997E-2</v>
      </c>
    </row>
    <row r="13" spans="1:26" x14ac:dyDescent="0.25">
      <c r="A13" s="15">
        <f>B13+Simulation!$D$4</f>
        <v>2023</v>
      </c>
      <c r="B13" s="19">
        <v>23</v>
      </c>
      <c r="C13" s="77">
        <f>IF(AND($B13&gt;=Simulation!$D$5,$B13&lt;Simulation!$D$6),IF(Simulation!$D$3=1,LOOKUP($B13,Info_cas_type!$B$5:$B$55,Info_cas_type!$C$5:$C$55)*LOOKUP($A13,Barèmes!$A$65:$A$148,Barèmes!$D$65:$D$148),IF(Simulation!$D$3=2,LOOKUP($B13,Info_cas_type!$B$5:$B$55,Info_cas_type!$D$5:$D$55)*LOOKUP($A13,Barèmes!$A$65:$A$148,Barèmes!$D$65:$D$148),IF(Simulation!$D$3="2P",LOOKUP($B13,Info_cas_type!$B$5:$B$55,Info_cas_type!$E$5:$E$55)*LOOKUP($A13,Barèmes!$A$65:$A$148,Barèmes!$D$65:$D$148),IF(Simulation!$D$3="2M",LOOKUP($B13,Info_cas_type!$B$5:$B$55,Info_cas_type!$F$5:$F$55)*LOOKUP($A13,Barèmes!$A$65:$A$148,Barèmes!$D$65:$D$148),IF(Simulation!$D$3="SMIC",LOOKUP($A13,Barèmes!$A$65:$A$148,Barèmes!$F$65:$F$148),LOOKUP($B13,Info_cas_type!$B$5:$B$55,Info_cas_type!$G$5:$G$55)*LOOKUP($A13,Barèmes!$A$65:$A$148,Barèmes!$D$65:$D$148)))))),0)*LOOKUP($B13,Info_cas_type!$B$5:$B$55,Info_cas_type!$H$5:$H$55)</f>
        <v>22242.436471431116</v>
      </c>
      <c r="D13" s="56">
        <f>MIN($C13,LOOKUP($A13,Barèmes!$A$65:$A$148,Barèmes!$V$65:$V$148))</f>
        <v>22242.436471431116</v>
      </c>
      <c r="E13" s="56">
        <f>MIN(F13,7*LOOKUP($A13,Barèmes!$A$65:$A$148,Barèmes!$V$65:$V$148))</f>
        <v>0</v>
      </c>
      <c r="F13" s="56">
        <f>IF($C13&gt;LOOKUP($A13,Barèmes!$A$65:$A$148,Barèmes!$V$65:$V$148),($C13-LOOKUP($A13,Barèmes!$A$65:$A$148,Barèmes!$V$65:$V$148)),0)</f>
        <v>0</v>
      </c>
      <c r="H13" s="81">
        <f t="shared" si="0"/>
        <v>17607.146074439581</v>
      </c>
      <c r="I13" s="56">
        <f>H13+LOOKUP($A13,Barèmes!$A$5:$A$148,Barèmes!$CK$5:$CK$148)*C13*(LOOKUP($A13,Barèmes!$CG$65:$CG$148,Barèmes!$CH$65:$CH$148)-LOOKUP($A13,Barèmes!$CG$65:$CG$148,Barèmes!$CI$65:$CI$148))</f>
        <v>18131.622726435926</v>
      </c>
      <c r="K13" s="320">
        <f>LOOKUP($A13,Barèmes!$A$65:$A$148,Barèmes!$K$65:$K$148)-LOOKUP($A13,Barèmes!$A$65:$A$148,Barèmes!$L$65:$L$148)+(LOOKUP($A13,Barèmes!$A$65:$A$148,Barèmes!$AC$65:$AC$148)-LOOKUP($A13,Barèmes!$A$65:$A$148,Barèmes!$AD$65:$AD$148))*LOOKUP($A13,Barèmes!$A$65:$A$148,Barèmes!$AI$65:$AI$148)+LOOKUP($A13,Barèmes!$A$65:$A$148,Barèmes!$AQ$65:$AQ$148)-LOOKUP($A13,Barèmes!$A$65:$A$148,Barèmes!$AR$65:$AR$148)+LOOKUP($A13,Barèmes!$A$65:$A$148,Barèmes!$CL$65:$CL$148)+LOOKUP($A13,Barèmes!$A$65:$A$148,Barèmes!$CM$65:$CM$148)+LOOKUP($A13,Barèmes!$A$5:$A$148,Barèmes!$CK$5:$CK$148)*(LOOKUP($A13,Barèmes!$A$65:$A$148,Barèmes!$CH$65:$CH$148)+LOOKUP($A13,Barèmes!$A$65:$A$148,Barèmes!$CJ$65:$CJ$148))</f>
        <v>0.20839849999999999</v>
      </c>
      <c r="L13" s="320">
        <f>K13+LOOKUP($A13,Barèmes!$A$65:$A$148,Barèmes!$AL$65:$AL$148)-LOOKUP($A13,Barèmes!$A$65:$A$148,Barèmes!$AM$65:$AM$148)+IF($A13&gt;2010,LOOKUP($A13,Barèmes!$CG$5:$CG$148,Barèmes!$CO$5:$CO$148),0)</f>
        <v>0.21003849999999999</v>
      </c>
      <c r="M13" s="320">
        <f>(LOOKUP($A13,Barèmes!$A$65:$A$148,Barèmes!$AF$65:$AF$148)-LOOKUP($A13,Barèmes!$A$65:$A$148,Barèmes!$AG$65:$AG$148))*LOOKUP($A13,Barèmes!$A$65:$A$148,Barèmes!$AI$65:$AI$148)+LOOKUP($A13,Barèmes!$A$65:$A$148,Barèmes!$AL$65:$AL$148)-LOOKUP($A13,Barèmes!$A$65:$A$148,Barèmes!$AM$65:$AM$148)+LOOKUP($A13,Barèmes!$A$65:$A$148,Barèmes!$AV$65:$AV$148)-LOOKUP($A13,Barèmes!$A$65:$A$148,Barèmes!$AW$65:$AW$148)+LOOKUP($A13,Barèmes!$A$65:$A$148,Barèmes!$CN$65:$CN$148)+LOOKUP($A13,Barèmes!$A$65:$A$148,Barèmes!$CO$65:$CO$148)</f>
        <v>9.8799999999999999E-2</v>
      </c>
      <c r="N13" s="320">
        <f>LOOKUP($A13,Barèmes!$A$65:$A$148,Barèmes!$N$65:$N$148)-LOOKUP($A13,Barèmes!$A$65:$A$148,Barèmes!O71:O154)+0.9825*LOOKUP($A13,Barèmes!$A$65:$A$148,Barèmes!$CH$65:$CH$148)+0.9825*LOOKUP($A13,Barèmes!$A$65:$A$148,Barèmes!$CJ$65:$CJ$148)+LOOKUP($A13,Barèmes!$A$65:$A$148,Barèmes!$CL$65:$CL$148)</f>
        <v>9.9302500000000002E-2</v>
      </c>
      <c r="P13" s="321">
        <f>C13/LOOKUP($A13,Barèmes!$A$65:$A$148,Barèmes!$C$65:$C$148)</f>
        <v>21804.25810064064</v>
      </c>
      <c r="Q13" s="321">
        <f>H13/LOOKUP($A13,Barèmes!$A$65:$A$148,Barèmes!$C$65:$C$148)</f>
        <v>17260.283418854284</v>
      </c>
      <c r="R13" s="321">
        <f>I13/LOOKUP($A13,Barèmes!$A$65:$A$148,Barèmes!$C$65:$C$148)</f>
        <v>17774.427824867387</v>
      </c>
      <c r="T13" s="321">
        <f>C13/LOOKUP($A13,Barèmes!$A$65:$A$148,Barèmes!$G$65:$G$148)</f>
        <v>20106.293800912212</v>
      </c>
      <c r="U13" s="321">
        <f>H13/LOOKUP($A13,Barèmes!$A$65:$A$148,Barèmes!$G$65:$G$148)</f>
        <v>15916.172332242812</v>
      </c>
      <c r="V13" s="321">
        <f>I13/LOOKUP($A13,Barèmes!$A$65:$A$148,Barèmes!$G$65:$G$148)</f>
        <v>16390.278740068319</v>
      </c>
      <c r="Y13" s="95">
        <v>1</v>
      </c>
      <c r="Z13" s="280">
        <f>IF($Y13=1,IF(I13&lt;LOOKUP($A13,Barèmes!$AB$65:$AB$148,Barèmes!$BM$65:$BM$148),LOOKUP($A13,Barèmes!$AB$65:$AB$148,Barèmes!$BQ$65:$BQ$148),IF(I13&lt;LOOKUP($A13,Barèmes!$AB$65:$AB$148,Barèmes!$BN$65:$BN$148),LOOKUP($A13,Barèmes!$AB$65:$AB$148,Barèmes!$BR$65:$BR$148),IF(I13&lt;LOOKUP($A13,Barèmes!$AB$65:$AB$148,Barèmes!$BO$65:$BO$148),LOOKUP($A13,Barèmes!$AB$65:$AB$148,Barèmes!$BS$65:$BS$148),LOOKUP($A13,Barèmes!$AB$65:$AB$148,Barèmes!$BT$65:$BT$148)))),IF($Y13=2,IF(I13&lt;LOOKUP($A13,Barèmes!$AB$65:$AB$148,Barèmes!$BW$65:$BW$148),LOOKUP($A13,Barèmes!$AB$65:$AB$148,Barèmes!$CA$65:$CA$148),IF(I13&lt;LOOKUP($A13,Barèmes!$AB$65:$AB$148,Barèmes!$BX$65:$BX$148),LOOKUP($A13,Barèmes!$AB$65:$AB$148,Barèmes!$CB$65:$CB$148),IF(I13&lt;LOOKUP($A13,Barèmes!$AB$65:$AB$148,Barèmes!$BY$65:$BY$148),LOOKUP($A13,Barèmes!$AB$65:$AB$148,Barèmes!$CC$65:$CC154),LOOKUP($A13,Barèmes!$AB$65:$AB$148,Barèmes!$CD$65:$CD$148))))))</f>
        <v>7.3999999999999996E-2</v>
      </c>
    </row>
    <row r="14" spans="1:26" x14ac:dyDescent="0.25">
      <c r="A14" s="15">
        <f>B14+Simulation!$D$4</f>
        <v>2024</v>
      </c>
      <c r="B14" s="19">
        <v>24</v>
      </c>
      <c r="C14" s="77">
        <f>IF(AND($B14&gt;=Simulation!$D$5,$B14&lt;Simulation!$D$6),IF(Simulation!$D$3=1,LOOKUP($B14,Info_cas_type!$B$5:$B$55,Info_cas_type!$C$5:$C$55)*LOOKUP($A14,Barèmes!$A$65:$A$148,Barèmes!$D$65:$D$148),IF(Simulation!$D$3=2,LOOKUP($B14,Info_cas_type!$B$5:$B$55,Info_cas_type!$D$5:$D$55)*LOOKUP($A14,Barèmes!$A$65:$A$148,Barèmes!$D$65:$D$148),IF(Simulation!$D$3="2P",LOOKUP($B14,Info_cas_type!$B$5:$B$55,Info_cas_type!$E$5:$E$55)*LOOKUP($A14,Barèmes!$A$65:$A$148,Barèmes!$D$65:$D$148),IF(Simulation!$D$3="2M",LOOKUP($B14,Info_cas_type!$B$5:$B$55,Info_cas_type!$F$5:$F$55)*LOOKUP($A14,Barèmes!$A$65:$A$148,Barèmes!$D$65:$D$148),IF(Simulation!$D$3="SMIC",LOOKUP($A14,Barèmes!$A$65:$A$148,Barèmes!$F$65:$F$148),LOOKUP($B14,Info_cas_type!$B$5:$B$55,Info_cas_type!$G$5:$G$55)*LOOKUP($A14,Barèmes!$A$65:$A$148,Barèmes!$D$65:$D$148)))))),0)*LOOKUP($B14,Info_cas_type!$B$5:$B$55,Info_cas_type!$H$5:$H$55)</f>
        <v>24404.300516831827</v>
      </c>
      <c r="D14" s="56">
        <f>MIN($C14,LOOKUP($A14,Barèmes!$A$65:$A$148,Barèmes!$V$65:$V$148))</f>
        <v>24404.300516831827</v>
      </c>
      <c r="E14" s="56">
        <f>MIN(F14,7*LOOKUP($A14,Barèmes!$A$65:$A$148,Barèmes!$V$65:$V$148))</f>
        <v>0</v>
      </c>
      <c r="F14" s="56">
        <f>IF($C14&gt;LOOKUP($A14,Barèmes!$A$65:$A$148,Barèmes!$V$65:$V$148),($C14-LOOKUP($A14,Barèmes!$A$65:$A$148,Barèmes!$V$65:$V$148)),0)</f>
        <v>0</v>
      </c>
      <c r="H14" s="81">
        <f t="shared" si="0"/>
        <v>19318.480895574852</v>
      </c>
      <c r="I14" s="56">
        <f>H14+LOOKUP($A14,Barèmes!$A$5:$A$148,Barèmes!$CK$5:$CK$148)*C14*(LOOKUP($A14,Barèmes!$CG$65:$CG$148,Barèmes!$CH$65:$CH$148)-LOOKUP($A14,Barèmes!$CG$65:$CG$148,Barèmes!$CI$65:$CI$148))</f>
        <v>19893.934301761747</v>
      </c>
      <c r="K14" s="320">
        <f>LOOKUP($A14,Barèmes!$A$65:$A$148,Barèmes!$K$65:$K$148)-LOOKUP($A14,Barèmes!$A$65:$A$148,Barèmes!$L$65:$L$148)+(LOOKUP($A14,Barèmes!$A$65:$A$148,Barèmes!$AC$65:$AC$148)-LOOKUP($A14,Barèmes!$A$65:$A$148,Barèmes!$AD$65:$AD$148))*LOOKUP($A14,Barèmes!$A$65:$A$148,Barèmes!$AI$65:$AI$148)+LOOKUP($A14,Barèmes!$A$65:$A$148,Barèmes!$AQ$65:$AQ$148)-LOOKUP($A14,Barèmes!$A$65:$A$148,Barèmes!$AR$65:$AR$148)+LOOKUP($A14,Barèmes!$A$65:$A$148,Barèmes!$CL$65:$CL$148)+LOOKUP($A14,Barèmes!$A$65:$A$148,Barèmes!$CM$65:$CM$148)+LOOKUP($A14,Barèmes!$A$5:$A$148,Barèmes!$CK$5:$CK$148)*(LOOKUP($A14,Barèmes!$A$65:$A$148,Barèmes!$CH$65:$CH$148)+LOOKUP($A14,Barèmes!$A$65:$A$148,Barèmes!$CJ$65:$CJ$148))</f>
        <v>0.20839849999999999</v>
      </c>
      <c r="L14" s="320">
        <f>K14+LOOKUP($A14,Barèmes!$A$65:$A$148,Barèmes!$AL$65:$AL$148)-LOOKUP($A14,Barèmes!$A$65:$A$148,Barèmes!$AM$65:$AM$148)+IF($A14&gt;2010,LOOKUP($A14,Barèmes!$CG$5:$CG$148,Barèmes!$CO$5:$CO$148),0)</f>
        <v>0.21003849999999999</v>
      </c>
      <c r="M14" s="320">
        <f>(LOOKUP($A14,Barèmes!$A$65:$A$148,Barèmes!$AF$65:$AF$148)-LOOKUP($A14,Barèmes!$A$65:$A$148,Barèmes!$AG$65:$AG$148))*LOOKUP($A14,Barèmes!$A$65:$A$148,Barèmes!$AI$65:$AI$148)+LOOKUP($A14,Barèmes!$A$65:$A$148,Barèmes!$AL$65:$AL$148)-LOOKUP($A14,Barèmes!$A$65:$A$148,Barèmes!$AM$65:$AM$148)+LOOKUP($A14,Barèmes!$A$65:$A$148,Barèmes!$AV$65:$AV$148)-LOOKUP($A14,Barèmes!$A$65:$A$148,Barèmes!$AW$65:$AW$148)+LOOKUP($A14,Barèmes!$A$65:$A$148,Barèmes!$CN$65:$CN$148)+LOOKUP($A14,Barèmes!$A$65:$A$148,Barèmes!$CO$65:$CO$148)</f>
        <v>9.8799999999999999E-2</v>
      </c>
      <c r="N14" s="320">
        <f>LOOKUP($A14,Barèmes!$A$65:$A$148,Barèmes!$N$65:$N$148)-LOOKUP($A14,Barèmes!$A$65:$A$148,Barèmes!O72:O155)+0.9825*LOOKUP($A14,Barèmes!$A$65:$A$148,Barèmes!$CH$65:$CH$148)+0.9825*LOOKUP($A14,Barèmes!$A$65:$A$148,Barèmes!$CJ$65:$CJ$148)+LOOKUP($A14,Barèmes!$A$65:$A$148,Barèmes!$CL$65:$CL$148)</f>
        <v>9.9302500000000002E-2</v>
      </c>
      <c r="P14" s="321">
        <f>C14/LOOKUP($A14,Barèmes!$A$65:$A$148,Barèmes!$C$65:$C$148)</f>
        <v>23569.98344213776</v>
      </c>
      <c r="Q14" s="321">
        <f>H14/LOOKUP($A14,Barèmes!$A$65:$A$148,Barèmes!$C$65:$C$148)</f>
        <v>18658.034247771415</v>
      </c>
      <c r="R14" s="321">
        <f>I14/LOOKUP($A14,Barèmes!$A$65:$A$148,Barèmes!$C$65:$C$148)</f>
        <v>19213.814457337023</v>
      </c>
      <c r="T14" s="321">
        <f>C14/LOOKUP($A14,Barèmes!$A$65:$A$148,Barèmes!$G$65:$G$148)</f>
        <v>21476.795164935644</v>
      </c>
      <c r="U14" s="321">
        <f>H14/LOOKUP($A14,Barèmes!$A$65:$A$148,Barèmes!$G$65:$G$148)</f>
        <v>17001.063267755806</v>
      </c>
      <c r="V14" s="321">
        <f>I14/LOOKUP($A14,Barèmes!$A$65:$A$148,Barèmes!$G$65:$G$148)</f>
        <v>17507.48609774499</v>
      </c>
      <c r="Y14" s="95">
        <v>1</v>
      </c>
      <c r="Z14" s="280">
        <f>IF($Y14=1,IF(I14&lt;LOOKUP($A14,Barèmes!$AB$65:$AB$148,Barèmes!$BM$65:$BM$148),LOOKUP($A14,Barèmes!$AB$65:$AB$148,Barèmes!$BQ$65:$BQ$148),IF(I14&lt;LOOKUP($A14,Barèmes!$AB$65:$AB$148,Barèmes!$BN$65:$BN$148),LOOKUP($A14,Barèmes!$AB$65:$AB$148,Barèmes!$BR$65:$BR$148),IF(I14&lt;LOOKUP($A14,Barèmes!$AB$65:$AB$148,Barèmes!$BO$65:$BO$148),LOOKUP($A14,Barèmes!$AB$65:$AB$148,Barèmes!$BS$65:$BS$148),LOOKUP($A14,Barèmes!$AB$65:$AB$148,Barèmes!$BT$65:$BT$148)))),IF($Y14=2,IF(I14&lt;LOOKUP($A14,Barèmes!$AB$65:$AB$148,Barèmes!$BW$65:$BW$148),LOOKUP($A14,Barèmes!$AB$65:$AB$148,Barèmes!$CA$65:$CA$148),IF(I14&lt;LOOKUP($A14,Barèmes!$AB$65:$AB$148,Barèmes!$BX$65:$BX$148),LOOKUP($A14,Barèmes!$AB$65:$AB$148,Barèmes!$CB$65:$CB$148),IF(I14&lt;LOOKUP($A14,Barèmes!$AB$65:$AB$148,Barèmes!$BY$65:$BY$148),LOOKUP($A14,Barèmes!$AB$65:$AB$148,Barèmes!$CC$65:$CC155),LOOKUP($A14,Barèmes!$AB$65:$AB$148,Barèmes!$CD$65:$CD$148))))))</f>
        <v>7.3999999999999996E-2</v>
      </c>
    </row>
    <row r="15" spans="1:26" x14ac:dyDescent="0.25">
      <c r="A15" s="15">
        <f>B15+Simulation!$D$4</f>
        <v>2025</v>
      </c>
      <c r="B15" s="19">
        <v>25</v>
      </c>
      <c r="C15" s="77">
        <f>IF(AND($B15&gt;=Simulation!$D$5,$B15&lt;Simulation!$D$6),IF(Simulation!$D$3=1,LOOKUP($B15,Info_cas_type!$B$5:$B$55,Info_cas_type!$C$5:$C$55)*LOOKUP($A15,Barèmes!$A$65:$A$148,Barèmes!$D$65:$D$148),IF(Simulation!$D$3=2,LOOKUP($B15,Info_cas_type!$B$5:$B$55,Info_cas_type!$D$5:$D$55)*LOOKUP($A15,Barèmes!$A$65:$A$148,Barèmes!$D$65:$D$148),IF(Simulation!$D$3="2P",LOOKUP($B15,Info_cas_type!$B$5:$B$55,Info_cas_type!$E$5:$E$55)*LOOKUP($A15,Barèmes!$A$65:$A$148,Barèmes!$D$65:$D$148),IF(Simulation!$D$3="2M",LOOKUP($B15,Info_cas_type!$B$5:$B$55,Info_cas_type!$F$5:$F$55)*LOOKUP($A15,Barèmes!$A$65:$A$148,Barèmes!$D$65:$D$148),IF(Simulation!$D$3="SMIC",LOOKUP($A15,Barèmes!$A$65:$A$148,Barèmes!$F$65:$F$148),LOOKUP($B15,Info_cas_type!$B$5:$B$55,Info_cas_type!$G$5:$G$55)*LOOKUP($A15,Barèmes!$A$65:$A$148,Barèmes!$D$65:$D$148)))))),0)*LOOKUP($B15,Info_cas_type!$B$5:$B$55,Info_cas_type!$H$5:$H$55)</f>
        <v>26311.728838909617</v>
      </c>
      <c r="D15" s="56">
        <f>MIN($C15,LOOKUP($A15,Barèmes!$A$65:$A$148,Barèmes!$V$65:$V$148))</f>
        <v>26311.728838909617</v>
      </c>
      <c r="E15" s="56">
        <f>MIN(F15,7*LOOKUP($A15,Barèmes!$A$65:$A$148,Barèmes!$V$65:$V$148))</f>
        <v>0</v>
      </c>
      <c r="F15" s="56">
        <f>IF($C15&gt;LOOKUP($A15,Barèmes!$A$65:$A$148,Barèmes!$V$65:$V$148),($C15-LOOKUP($A15,Barèmes!$A$65:$A$148,Barèmes!$V$65:$V$148)),0)</f>
        <v>0</v>
      </c>
      <c r="H15" s="81">
        <f t="shared" si="0"/>
        <v>20828.404016474113</v>
      </c>
      <c r="I15" s="56">
        <f>H15+LOOKUP($A15,Barèmes!$A$5:$A$148,Barèmes!$CK$5:$CK$148)*C15*(LOOKUP($A15,Barèmes!$CG$65:$CG$148,Barèmes!$CH$65:$CH$148)-LOOKUP($A15,Barèmes!$CG$65:$CG$148,Barèmes!$CI$65:$CI$148))</f>
        <v>21448.834582495601</v>
      </c>
      <c r="K15" s="320">
        <f>LOOKUP($A15,Barèmes!$A$65:$A$148,Barèmes!$K$65:$K$148)-LOOKUP($A15,Barèmes!$A$65:$A$148,Barèmes!$L$65:$L$148)+(LOOKUP($A15,Barèmes!$A$65:$A$148,Barèmes!$AC$65:$AC$148)-LOOKUP($A15,Barèmes!$A$65:$A$148,Barèmes!$AD$65:$AD$148))*LOOKUP($A15,Barèmes!$A$65:$A$148,Barèmes!$AI$65:$AI$148)+LOOKUP($A15,Barèmes!$A$65:$A$148,Barèmes!$AQ$65:$AQ$148)-LOOKUP($A15,Barèmes!$A$65:$A$148,Barèmes!$AR$65:$AR$148)+LOOKUP($A15,Barèmes!$A$65:$A$148,Barèmes!$CL$65:$CL$148)+LOOKUP($A15,Barèmes!$A$65:$A$148,Barèmes!$CM$65:$CM$148)+LOOKUP($A15,Barèmes!$A$5:$A$148,Barèmes!$CK$5:$CK$148)*(LOOKUP($A15,Barèmes!$A$65:$A$148,Barèmes!$CH$65:$CH$148)+LOOKUP($A15,Barèmes!$A$65:$A$148,Barèmes!$CJ$65:$CJ$148))</f>
        <v>0.20839849999999999</v>
      </c>
      <c r="L15" s="320">
        <f>K15+LOOKUP($A15,Barèmes!$A$65:$A$148,Barèmes!$AL$65:$AL$148)-LOOKUP($A15,Barèmes!$A$65:$A$148,Barèmes!$AM$65:$AM$148)+IF($A15&gt;2010,LOOKUP($A15,Barèmes!$CG$5:$CG$148,Barèmes!$CO$5:$CO$148),0)</f>
        <v>0.21003849999999999</v>
      </c>
      <c r="M15" s="320">
        <f>(LOOKUP($A15,Barèmes!$A$65:$A$148,Barèmes!$AF$65:$AF$148)-LOOKUP($A15,Barèmes!$A$65:$A$148,Barèmes!$AG$65:$AG$148))*LOOKUP($A15,Barèmes!$A$65:$A$148,Barèmes!$AI$65:$AI$148)+LOOKUP($A15,Barèmes!$A$65:$A$148,Barèmes!$AL$65:$AL$148)-LOOKUP($A15,Barèmes!$A$65:$A$148,Barèmes!$AM$65:$AM$148)+LOOKUP($A15,Barèmes!$A$65:$A$148,Barèmes!$AV$65:$AV$148)-LOOKUP($A15,Barèmes!$A$65:$A$148,Barèmes!$AW$65:$AW$148)+LOOKUP($A15,Barèmes!$A$65:$A$148,Barèmes!$CN$65:$CN$148)+LOOKUP($A15,Barèmes!$A$65:$A$148,Barèmes!$CO$65:$CO$148)</f>
        <v>9.8799999999999999E-2</v>
      </c>
      <c r="N15" s="320">
        <f>LOOKUP($A15,Barèmes!$A$65:$A$148,Barèmes!$N$65:$N$148)-LOOKUP($A15,Barèmes!$A$65:$A$148,Barèmes!O73:O156)+0.9825*LOOKUP($A15,Barèmes!$A$65:$A$148,Barèmes!$CH$65:$CH$148)+0.9825*LOOKUP($A15,Barèmes!$A$65:$A$148,Barèmes!$CJ$65:$CJ$148)+LOOKUP($A15,Barèmes!$A$65:$A$148,Barèmes!$CL$65:$CL$148)</f>
        <v>9.9302500000000002E-2</v>
      </c>
      <c r="P15" s="321">
        <f>C15/LOOKUP($A15,Barèmes!$A$65:$A$148,Barèmes!$C$65:$C$148)</f>
        <v>24975.137046961725</v>
      </c>
      <c r="Q15" s="321">
        <f>H15/LOOKUP($A15,Barèmes!$A$65:$A$148,Barèmes!$C$65:$C$148)</f>
        <v>19770.355949080473</v>
      </c>
      <c r="R15" s="321">
        <f>I15/LOOKUP($A15,Barèmes!$A$65:$A$148,Barèmes!$C$65:$C$148)</f>
        <v>20359.269680647831</v>
      </c>
      <c r="T15" s="321">
        <f>C15/LOOKUP($A15,Barèmes!$A$65:$A$148,Barèmes!$G$65:$G$148)</f>
        <v>22509.555659226058</v>
      </c>
      <c r="U15" s="321">
        <f>H15/LOOKUP($A15,Barèmes!$A$65:$A$148,Barèmes!$G$65:$G$148)</f>
        <v>17818.598024176837</v>
      </c>
      <c r="V15" s="321">
        <f>I15/LOOKUP($A15,Barèmes!$A$65:$A$148,Barèmes!$G$65:$G$148)</f>
        <v>18349.373346621389</v>
      </c>
      <c r="Y15" s="95">
        <v>1</v>
      </c>
      <c r="Z15" s="280">
        <f>IF($Y15=1,IF(I15&lt;LOOKUP($A15,Barèmes!$AB$65:$AB$148,Barèmes!$BM$65:$BM$148),LOOKUP($A15,Barèmes!$AB$65:$AB$148,Barèmes!$BQ$65:$BQ$148),IF(I15&lt;LOOKUP($A15,Barèmes!$AB$65:$AB$148,Barèmes!$BN$65:$BN$148),LOOKUP($A15,Barèmes!$AB$65:$AB$148,Barèmes!$BR$65:$BR$148),IF(I15&lt;LOOKUP($A15,Barèmes!$AB$65:$AB$148,Barèmes!$BO$65:$BO$148),LOOKUP($A15,Barèmes!$AB$65:$AB$148,Barèmes!$BS$65:$BS$148),LOOKUP($A15,Barèmes!$AB$65:$AB$148,Barèmes!$BT$65:$BT$148)))),IF($Y15=2,IF(I15&lt;LOOKUP($A15,Barèmes!$AB$65:$AB$148,Barèmes!$BW$65:$BW$148),LOOKUP($A15,Barèmes!$AB$65:$AB$148,Barèmes!$CA$65:$CA$148),IF(I15&lt;LOOKUP($A15,Barèmes!$AB$65:$AB$148,Barèmes!$BX$65:$BX$148),LOOKUP($A15,Barèmes!$AB$65:$AB$148,Barèmes!$CB$65:$CB$148),IF(I15&lt;LOOKUP($A15,Barèmes!$AB$65:$AB$148,Barèmes!$BY$65:$BY$148),LOOKUP($A15,Barèmes!$AB$65:$AB$148,Barèmes!$CC$65:$CC156),LOOKUP($A15,Barèmes!$AB$65:$AB$148,Barèmes!$CD$65:$CD$148))))))</f>
        <v>7.3999999999999996E-2</v>
      </c>
    </row>
    <row r="16" spans="1:26" x14ac:dyDescent="0.25">
      <c r="A16" s="15">
        <f>B16+Simulation!$D$4</f>
        <v>2026</v>
      </c>
      <c r="B16" s="19">
        <v>26</v>
      </c>
      <c r="C16" s="77">
        <f>IF(AND($B16&gt;=Simulation!$D$5,$B16&lt;Simulation!$D$6),IF(Simulation!$D$3=1,LOOKUP($B16,Info_cas_type!$B$5:$B$55,Info_cas_type!$C$5:$C$55)*LOOKUP($A16,Barèmes!$A$65:$A$148,Barèmes!$D$65:$D$148),IF(Simulation!$D$3=2,LOOKUP($B16,Info_cas_type!$B$5:$B$55,Info_cas_type!$D$5:$D$55)*LOOKUP($A16,Barèmes!$A$65:$A$148,Barèmes!$D$65:$D$148),IF(Simulation!$D$3="2P",LOOKUP($B16,Info_cas_type!$B$5:$B$55,Info_cas_type!$E$5:$E$55)*LOOKUP($A16,Barèmes!$A$65:$A$148,Barèmes!$D$65:$D$148),IF(Simulation!$D$3="2M",LOOKUP($B16,Info_cas_type!$B$5:$B$55,Info_cas_type!$F$5:$F$55)*LOOKUP($A16,Barèmes!$A$65:$A$148,Barèmes!$D$65:$D$148),IF(Simulation!$D$3="SMIC",LOOKUP($A16,Barèmes!$A$65:$A$148,Barèmes!$F$65:$F$148),LOOKUP($B16,Info_cas_type!$B$5:$B$55,Info_cas_type!$G$5:$G$55)*LOOKUP($A16,Barèmes!$A$65:$A$148,Barèmes!$D$65:$D$148)))))),0)*LOOKUP($B16,Info_cas_type!$B$5:$B$55,Info_cas_type!$H$5:$H$55)</f>
        <v>28794.031610881269</v>
      </c>
      <c r="D16" s="56">
        <f>MIN($C16,LOOKUP($A16,Barèmes!$A$65:$A$148,Barèmes!$V$65:$V$148))</f>
        <v>28794.031610881269</v>
      </c>
      <c r="E16" s="56">
        <f>MIN(F16,7*LOOKUP($A16,Barèmes!$A$65:$A$148,Barèmes!$V$65:$V$148))</f>
        <v>0</v>
      </c>
      <c r="F16" s="56">
        <f>IF($C16&gt;LOOKUP($A16,Barèmes!$A$65:$A$148,Barèmes!$V$65:$V$148),($C16-LOOKUP($A16,Barèmes!$A$65:$A$148,Barèmes!$V$65:$V$148)),0)</f>
        <v>0</v>
      </c>
      <c r="H16" s="81">
        <f t="shared" si="0"/>
        <v>22793.398614221031</v>
      </c>
      <c r="I16" s="56">
        <f>H16+LOOKUP($A16,Barèmes!$A$5:$A$148,Barèmes!$CK$5:$CK$148)*C16*(LOOKUP($A16,Barèmes!$CG$65:$CG$148,Barèmes!$CH$65:$CH$148)-LOOKUP($A16,Barèmes!$CG$65:$CG$148,Barèmes!$CI$65:$CI$148))</f>
        <v>23472.361879605611</v>
      </c>
      <c r="K16" s="320">
        <f>LOOKUP($A16,Barèmes!$A$65:$A$148,Barèmes!$K$65:$K$148)-LOOKUP($A16,Barèmes!$A$65:$A$148,Barèmes!$L$65:$L$148)+(LOOKUP($A16,Barèmes!$A$65:$A$148,Barèmes!$AC$65:$AC$148)-LOOKUP($A16,Barèmes!$A$65:$A$148,Barèmes!$AD$65:$AD$148))*LOOKUP($A16,Barèmes!$A$65:$A$148,Barèmes!$AI$65:$AI$148)+LOOKUP($A16,Barèmes!$A$65:$A$148,Barèmes!$AQ$65:$AQ$148)-LOOKUP($A16,Barèmes!$A$65:$A$148,Barèmes!$AR$65:$AR$148)+LOOKUP($A16,Barèmes!$A$65:$A$148,Barèmes!$CL$65:$CL$148)+LOOKUP($A16,Barèmes!$A$65:$A$148,Barèmes!$CM$65:$CM$148)+LOOKUP($A16,Barèmes!$A$5:$A$148,Barèmes!$CK$5:$CK$148)*(LOOKUP($A16,Barèmes!$A$65:$A$148,Barèmes!$CH$65:$CH$148)+LOOKUP($A16,Barèmes!$A$65:$A$148,Barèmes!$CJ$65:$CJ$148))</f>
        <v>0.20839849999999999</v>
      </c>
      <c r="L16" s="320">
        <f>K16+LOOKUP($A16,Barèmes!$A$65:$A$148,Barèmes!$AL$65:$AL$148)-LOOKUP($A16,Barèmes!$A$65:$A$148,Barèmes!$AM$65:$AM$148)+IF($A16&gt;2010,LOOKUP($A16,Barèmes!$CG$5:$CG$148,Barèmes!$CO$5:$CO$148),0)</f>
        <v>0.21003849999999999</v>
      </c>
      <c r="M16" s="320">
        <f>(LOOKUP($A16,Barèmes!$A$65:$A$148,Barèmes!$AF$65:$AF$148)-LOOKUP($A16,Barèmes!$A$65:$A$148,Barèmes!$AG$65:$AG$148))*LOOKUP($A16,Barèmes!$A$65:$A$148,Barèmes!$AI$65:$AI$148)+LOOKUP($A16,Barèmes!$A$65:$A$148,Barèmes!$AL$65:$AL$148)-LOOKUP($A16,Barèmes!$A$65:$A$148,Barèmes!$AM$65:$AM$148)+LOOKUP($A16,Barèmes!$A$65:$A$148,Barèmes!$AV$65:$AV$148)-LOOKUP($A16,Barèmes!$A$65:$A$148,Barèmes!$AW$65:$AW$148)+LOOKUP($A16,Barèmes!$A$65:$A$148,Barèmes!$CN$65:$CN$148)+LOOKUP($A16,Barèmes!$A$65:$A$148,Barèmes!$CO$65:$CO$148)</f>
        <v>9.8799999999999999E-2</v>
      </c>
      <c r="N16" s="320">
        <f>LOOKUP($A16,Barèmes!$A$65:$A$148,Barèmes!$N$65:$N$148)-LOOKUP($A16,Barèmes!$A$65:$A$148,Barèmes!O74:O157)+0.9825*LOOKUP($A16,Barèmes!$A$65:$A$148,Barèmes!$CH$65:$CH$148)+0.9825*LOOKUP($A16,Barèmes!$A$65:$A$148,Barèmes!$CJ$65:$CJ$148)+LOOKUP($A16,Barèmes!$A$65:$A$148,Barèmes!$CL$65:$CL$148)</f>
        <v>9.9302500000000002E-2</v>
      </c>
      <c r="P16" s="321">
        <f>C16/LOOKUP($A16,Barèmes!$A$65:$A$148,Barèmes!$C$65:$C$148)</f>
        <v>26861.270754091147</v>
      </c>
      <c r="Q16" s="321">
        <f>H16/LOOKUP($A16,Barèmes!$A$65:$A$148,Barèmes!$C$65:$C$148)</f>
        <v>21263.422220844684</v>
      </c>
      <c r="R16" s="321">
        <f>I16/LOOKUP($A16,Barèmes!$A$65:$A$148,Barèmes!$C$65:$C$148)</f>
        <v>21896.810985226155</v>
      </c>
      <c r="T16" s="321">
        <f>C16/LOOKUP($A16,Barèmes!$A$65:$A$148,Barèmes!$G$65:$G$148)</f>
        <v>23969.789642317319</v>
      </c>
      <c r="U16" s="321">
        <f>H16/LOOKUP($A16,Barèmes!$A$65:$A$148,Barèmes!$G$65:$G$148)</f>
        <v>18974.521435542854</v>
      </c>
      <c r="V16" s="321">
        <f>I16/LOOKUP($A16,Barèmes!$A$65:$A$148,Barèmes!$G$65:$G$148)</f>
        <v>19539.729075308696</v>
      </c>
      <c r="Y16" s="95">
        <v>1</v>
      </c>
      <c r="Z16" s="280">
        <f>IF($Y16=1,IF(I16&lt;LOOKUP($A16,Barèmes!$AB$65:$AB$148,Barèmes!$BM$65:$BM$148),LOOKUP($A16,Barèmes!$AB$65:$AB$148,Barèmes!$BQ$65:$BQ$148),IF(I16&lt;LOOKUP($A16,Barèmes!$AB$65:$AB$148,Barèmes!$BN$65:$BN$148),LOOKUP($A16,Barèmes!$AB$65:$AB$148,Barèmes!$BR$65:$BR$148),IF(I16&lt;LOOKUP($A16,Barèmes!$AB$65:$AB$148,Barèmes!$BO$65:$BO$148),LOOKUP($A16,Barèmes!$AB$65:$AB$148,Barèmes!$BS$65:$BS$148),LOOKUP($A16,Barèmes!$AB$65:$AB$148,Barèmes!$BT$65:$BT$148)))),IF($Y16=2,IF(I16&lt;LOOKUP($A16,Barèmes!$AB$65:$AB$148,Barèmes!$BW$65:$BW$148),LOOKUP($A16,Barèmes!$AB$65:$AB$148,Barèmes!$CA$65:$CA$148),IF(I16&lt;LOOKUP($A16,Barèmes!$AB$65:$AB$148,Barèmes!$BX$65:$BX$148),LOOKUP($A16,Barèmes!$AB$65:$AB$148,Barèmes!$CB$65:$CB$148),IF(I16&lt;LOOKUP($A16,Barèmes!$AB$65:$AB$148,Barèmes!$BY$65:$BY$148),LOOKUP($A16,Barèmes!$AB$65:$AB$148,Barèmes!$CC$65:$CC157),LOOKUP($A16,Barèmes!$AB$65:$AB$148,Barèmes!$CD$65:$CD$148))))))</f>
        <v>7.3999999999999996E-2</v>
      </c>
    </row>
    <row r="17" spans="1:26" x14ac:dyDescent="0.25">
      <c r="A17" s="15">
        <f>B17+Simulation!$D$4</f>
        <v>2027</v>
      </c>
      <c r="B17" s="19">
        <v>27</v>
      </c>
      <c r="C17" s="77">
        <f>IF(AND($B17&gt;=Simulation!$D$5,$B17&lt;Simulation!$D$6),IF(Simulation!$D$3=1,LOOKUP($B17,Info_cas_type!$B$5:$B$55,Info_cas_type!$C$5:$C$55)*LOOKUP($A17,Barèmes!$A$65:$A$148,Barèmes!$D$65:$D$148),IF(Simulation!$D$3=2,LOOKUP($B17,Info_cas_type!$B$5:$B$55,Info_cas_type!$D$5:$D$55)*LOOKUP($A17,Barèmes!$A$65:$A$148,Barèmes!$D$65:$D$148),IF(Simulation!$D$3="2P",LOOKUP($B17,Info_cas_type!$B$5:$B$55,Info_cas_type!$E$5:$E$55)*LOOKUP($A17,Barèmes!$A$65:$A$148,Barèmes!$D$65:$D$148),IF(Simulation!$D$3="2M",LOOKUP($B17,Info_cas_type!$B$5:$B$55,Info_cas_type!$F$5:$F$55)*LOOKUP($A17,Barèmes!$A$65:$A$148,Barèmes!$D$65:$D$148),IF(Simulation!$D$3="SMIC",LOOKUP($A17,Barèmes!$A$65:$A$148,Barèmes!$F$65:$F$148),LOOKUP($B17,Info_cas_type!$B$5:$B$55,Info_cas_type!$G$5:$G$55)*LOOKUP($A17,Barèmes!$A$65:$A$148,Barèmes!$D$65:$D$148)))))),0)*LOOKUP($B17,Info_cas_type!$B$5:$B$55,Info_cas_type!$H$5:$H$55)</f>
        <v>30831.559715652082</v>
      </c>
      <c r="D17" s="56">
        <f>MIN($C17,LOOKUP($A17,Barèmes!$A$65:$A$148,Barèmes!$V$65:$V$148))</f>
        <v>30831.559715652082</v>
      </c>
      <c r="E17" s="56">
        <f>MIN(F17,7*LOOKUP($A17,Barèmes!$A$65:$A$148,Barèmes!$V$65:$V$148))</f>
        <v>0</v>
      </c>
      <c r="F17" s="56">
        <f>IF($C17&gt;LOOKUP($A17,Barèmes!$A$65:$A$148,Barèmes!$V$65:$V$148),($C17-LOOKUP($A17,Barèmes!$A$65:$A$148,Barèmes!$V$65:$V$148)),0)</f>
        <v>0</v>
      </c>
      <c r="H17" s="81">
        <f t="shared" si="0"/>
        <v>24406.308918249764</v>
      </c>
      <c r="I17" s="56">
        <f>H17+LOOKUP($A17,Barèmes!$A$5:$A$148,Barèmes!$CK$5:$CK$148)*C17*(LOOKUP($A17,Barèmes!$CG$65:$CG$148,Barèmes!$CH$65:$CH$148)-LOOKUP($A17,Barèmes!$CG$65:$CG$148,Barèmes!$CI$65:$CI$148))</f>
        <v>25133.317096344839</v>
      </c>
      <c r="K17" s="320">
        <f>LOOKUP($A17,Barèmes!$A$65:$A$148,Barèmes!$K$65:$K$148)-LOOKUP($A17,Barèmes!$A$65:$A$148,Barèmes!$L$65:$L$148)+(LOOKUP($A17,Barèmes!$A$65:$A$148,Barèmes!$AC$65:$AC$148)-LOOKUP($A17,Barèmes!$A$65:$A$148,Barèmes!$AD$65:$AD$148))*LOOKUP($A17,Barèmes!$A$65:$A$148,Barèmes!$AI$65:$AI$148)+LOOKUP($A17,Barèmes!$A$65:$A$148,Barèmes!$AQ$65:$AQ$148)-LOOKUP($A17,Barèmes!$A$65:$A$148,Barèmes!$AR$65:$AR$148)+LOOKUP($A17,Barèmes!$A$65:$A$148,Barèmes!$CL$65:$CL$148)+LOOKUP($A17,Barèmes!$A$65:$A$148,Barèmes!$CM$65:$CM$148)+LOOKUP($A17,Barèmes!$A$5:$A$148,Barèmes!$CK$5:$CK$148)*(LOOKUP($A17,Barèmes!$A$65:$A$148,Barèmes!$CH$65:$CH$148)+LOOKUP($A17,Barèmes!$A$65:$A$148,Barèmes!$CJ$65:$CJ$148))</f>
        <v>0.20839849999999999</v>
      </c>
      <c r="L17" s="320">
        <f>K17+LOOKUP($A17,Barèmes!$A$65:$A$148,Barèmes!$AL$65:$AL$148)-LOOKUP($A17,Barèmes!$A$65:$A$148,Barèmes!$AM$65:$AM$148)+IF($A17&gt;2010,LOOKUP($A17,Barèmes!$CG$5:$CG$148,Barèmes!$CO$5:$CO$148),0)</f>
        <v>0.21003849999999999</v>
      </c>
      <c r="M17" s="320">
        <f>(LOOKUP($A17,Barèmes!$A$65:$A$148,Barèmes!$AF$65:$AF$148)-LOOKUP($A17,Barèmes!$A$65:$A$148,Barèmes!$AG$65:$AG$148))*LOOKUP($A17,Barèmes!$A$65:$A$148,Barèmes!$AI$65:$AI$148)+LOOKUP($A17,Barèmes!$A$65:$A$148,Barèmes!$AL$65:$AL$148)-LOOKUP($A17,Barèmes!$A$65:$A$148,Barèmes!$AM$65:$AM$148)+LOOKUP($A17,Barèmes!$A$65:$A$148,Barèmes!$AV$65:$AV$148)-LOOKUP($A17,Barèmes!$A$65:$A$148,Barèmes!$AW$65:$AW$148)+LOOKUP($A17,Barèmes!$A$65:$A$148,Barèmes!$CN$65:$CN$148)+LOOKUP($A17,Barèmes!$A$65:$A$148,Barèmes!$CO$65:$CO$148)</f>
        <v>9.8799999999999999E-2</v>
      </c>
      <c r="N17" s="320">
        <f>LOOKUP($A17,Barèmes!$A$65:$A$148,Barèmes!$N$65:$N$148)-LOOKUP($A17,Barèmes!$A$65:$A$148,Barèmes!O75:O158)+0.9825*LOOKUP($A17,Barèmes!$A$65:$A$148,Barèmes!$CH$65:$CH$148)+0.9825*LOOKUP($A17,Barèmes!$A$65:$A$148,Barèmes!$CJ$65:$CJ$148)+LOOKUP($A17,Barèmes!$A$65:$A$148,Barèmes!$CL$65:$CL$148)</f>
        <v>9.9302500000000002E-2</v>
      </c>
      <c r="P17" s="321">
        <f>C17/LOOKUP($A17,Barèmes!$A$65:$A$148,Barèmes!$C$65:$C$148)</f>
        <v>28267.353818418189</v>
      </c>
      <c r="Q17" s="321">
        <f>H17/LOOKUP($A17,Barèmes!$A$65:$A$148,Barèmes!$C$65:$C$148)</f>
        <v>22376.47968369057</v>
      </c>
      <c r="R17" s="321">
        <f>I17/LOOKUP($A17,Barèmes!$A$65:$A$148,Barèmes!$C$65:$C$148)</f>
        <v>23043.023886728868</v>
      </c>
      <c r="T17" s="321">
        <f>C17/LOOKUP($A17,Barèmes!$A$65:$A$148,Barèmes!$G$65:$G$148)</f>
        <v>24974.767242574766</v>
      </c>
      <c r="U17" s="321">
        <f>H17/LOOKUP($A17,Barèmes!$A$65:$A$148,Barèmes!$G$65:$G$148)</f>
        <v>19770.063211373053</v>
      </c>
      <c r="V17" s="321">
        <f>I17/LOOKUP($A17,Barèmes!$A$65:$A$148,Barèmes!$G$65:$G$148)</f>
        <v>20358.968222952964</v>
      </c>
      <c r="Y17" s="95">
        <v>1</v>
      </c>
      <c r="Z17" s="280">
        <f>IF($Y17=1,IF(I17&lt;LOOKUP($A17,Barèmes!$AB$65:$AB$148,Barèmes!$BM$65:$BM$148),LOOKUP($A17,Barèmes!$AB$65:$AB$148,Barèmes!$BQ$65:$BQ$148),IF(I17&lt;LOOKUP($A17,Barèmes!$AB$65:$AB$148,Barèmes!$BN$65:$BN$148),LOOKUP($A17,Barèmes!$AB$65:$AB$148,Barèmes!$BR$65:$BR$148),IF(I17&lt;LOOKUP($A17,Barèmes!$AB$65:$AB$148,Barèmes!$BO$65:$BO$148),LOOKUP($A17,Barèmes!$AB$65:$AB$148,Barèmes!$BS$65:$BS$148),LOOKUP($A17,Barèmes!$AB$65:$AB$148,Barèmes!$BT$65:$BT$148)))),IF($Y17=2,IF(I17&lt;LOOKUP($A17,Barèmes!$AB$65:$AB$148,Barèmes!$BW$65:$BW$148),LOOKUP($A17,Barèmes!$AB$65:$AB$148,Barèmes!$CA$65:$CA$148),IF(I17&lt;LOOKUP($A17,Barèmes!$AB$65:$AB$148,Barèmes!$BX$65:$BX$148),LOOKUP($A17,Barèmes!$AB$65:$AB$148,Barèmes!$CB$65:$CB$148),IF(I17&lt;LOOKUP($A17,Barèmes!$AB$65:$AB$148,Barèmes!$BY$65:$BY$148),LOOKUP($A17,Barèmes!$AB$65:$AB$148,Barèmes!$CC$65:$CC158),LOOKUP($A17,Barèmes!$AB$65:$AB$148,Barèmes!$CD$65:$CD$148))))))</f>
        <v>7.3999999999999996E-2</v>
      </c>
    </row>
    <row r="18" spans="1:26" x14ac:dyDescent="0.25">
      <c r="A18" s="15">
        <f>B18+Simulation!$D$4</f>
        <v>2028</v>
      </c>
      <c r="B18" s="19">
        <v>28</v>
      </c>
      <c r="C18" s="77">
        <f>IF(AND($B18&gt;=Simulation!$D$5,$B18&lt;Simulation!$D$6),IF(Simulation!$D$3=1,LOOKUP($B18,Info_cas_type!$B$5:$B$55,Info_cas_type!$C$5:$C$55)*LOOKUP($A18,Barèmes!$A$65:$A$148,Barèmes!$D$65:$D$148),IF(Simulation!$D$3=2,LOOKUP($B18,Info_cas_type!$B$5:$B$55,Info_cas_type!$D$5:$D$55)*LOOKUP($A18,Barèmes!$A$65:$A$148,Barèmes!$D$65:$D$148),IF(Simulation!$D$3="2P",LOOKUP($B18,Info_cas_type!$B$5:$B$55,Info_cas_type!$E$5:$E$55)*LOOKUP($A18,Barèmes!$A$65:$A$148,Barèmes!$D$65:$D$148),IF(Simulation!$D$3="2M",LOOKUP($B18,Info_cas_type!$B$5:$B$55,Info_cas_type!$F$5:$F$55)*LOOKUP($A18,Barèmes!$A$65:$A$148,Barèmes!$D$65:$D$148),IF(Simulation!$D$3="SMIC",LOOKUP($A18,Barèmes!$A$65:$A$148,Barèmes!$F$65:$F$148),LOOKUP($B18,Info_cas_type!$B$5:$B$55,Info_cas_type!$G$5:$G$55)*LOOKUP($A18,Barèmes!$A$65:$A$148,Barèmes!$D$65:$D$148)))))),0)*LOOKUP($B18,Info_cas_type!$B$5:$B$55,Info_cas_type!$H$5:$H$55)</f>
        <v>32698.88887409016</v>
      </c>
      <c r="D18" s="56">
        <f>MIN($C18,LOOKUP($A18,Barèmes!$A$65:$A$148,Barèmes!$V$65:$V$148))</f>
        <v>32698.88887409016</v>
      </c>
      <c r="E18" s="56">
        <f>MIN(F18,7*LOOKUP($A18,Barèmes!$A$65:$A$148,Barèmes!$V$65:$V$148))</f>
        <v>0</v>
      </c>
      <c r="F18" s="56">
        <f>IF($C18&gt;LOOKUP($A18,Barèmes!$A$65:$A$148,Barèmes!$V$65:$V$148),($C18-LOOKUP($A18,Barèmes!$A$65:$A$148,Barèmes!$V$65:$V$148)),0)</f>
        <v>0</v>
      </c>
      <c r="H18" s="81">
        <f t="shared" si="0"/>
        <v>25884.489481063083</v>
      </c>
      <c r="I18" s="56">
        <f>H18+LOOKUP($A18,Barèmes!$A$5:$A$148,Barèmes!$CK$5:$CK$148)*C18*(LOOKUP($A18,Barèmes!$CG$65:$CG$148,Barèmes!$CH$65:$CH$148)-LOOKUP($A18,Barèmes!$CG$65:$CG$148,Barèmes!$CI$65:$CI$148))</f>
        <v>26655.52928071413</v>
      </c>
      <c r="K18" s="320">
        <f>LOOKUP($A18,Barèmes!$A$65:$A$148,Barèmes!$K$65:$K$148)-LOOKUP($A18,Barèmes!$A$65:$A$148,Barèmes!$L$65:$L$148)+(LOOKUP($A18,Barèmes!$A$65:$A$148,Barèmes!$AC$65:$AC$148)-LOOKUP($A18,Barèmes!$A$65:$A$148,Barèmes!$AD$65:$AD$148))*LOOKUP($A18,Barèmes!$A$65:$A$148,Barèmes!$AI$65:$AI$148)+LOOKUP($A18,Barèmes!$A$65:$A$148,Barèmes!$AQ$65:$AQ$148)-LOOKUP($A18,Barèmes!$A$65:$A$148,Barèmes!$AR$65:$AR$148)+LOOKUP($A18,Barèmes!$A$65:$A$148,Barèmes!$CL$65:$CL$148)+LOOKUP($A18,Barèmes!$A$65:$A$148,Barèmes!$CM$65:$CM$148)+LOOKUP($A18,Barèmes!$A$5:$A$148,Barèmes!$CK$5:$CK$148)*(LOOKUP($A18,Barèmes!$A$65:$A$148,Barèmes!$CH$65:$CH$148)+LOOKUP($A18,Barèmes!$A$65:$A$148,Barèmes!$CJ$65:$CJ$148))</f>
        <v>0.20839849999999999</v>
      </c>
      <c r="L18" s="320">
        <f>K18+LOOKUP($A18,Barèmes!$A$65:$A$148,Barèmes!$AL$65:$AL$148)-LOOKUP($A18,Barèmes!$A$65:$A$148,Barèmes!$AM$65:$AM$148)+IF($A18&gt;2010,LOOKUP($A18,Barèmes!$CG$5:$CG$148,Barèmes!$CO$5:$CO$148),0)</f>
        <v>0.21003849999999999</v>
      </c>
      <c r="M18" s="320">
        <f>(LOOKUP($A18,Barèmes!$A$65:$A$148,Barèmes!$AF$65:$AF$148)-LOOKUP($A18,Barèmes!$A$65:$A$148,Barèmes!$AG$65:$AG$148))*LOOKUP($A18,Barèmes!$A$65:$A$148,Barèmes!$AI$65:$AI$148)+LOOKUP($A18,Barèmes!$A$65:$A$148,Barèmes!$AL$65:$AL$148)-LOOKUP($A18,Barèmes!$A$65:$A$148,Barèmes!$AM$65:$AM$148)+LOOKUP($A18,Barèmes!$A$65:$A$148,Barèmes!$AV$65:$AV$148)-LOOKUP($A18,Barèmes!$A$65:$A$148,Barèmes!$AW$65:$AW$148)+LOOKUP($A18,Barèmes!$A$65:$A$148,Barèmes!$CN$65:$CN$148)+LOOKUP($A18,Barèmes!$A$65:$A$148,Barèmes!$CO$65:$CO$148)</f>
        <v>9.8799999999999999E-2</v>
      </c>
      <c r="N18" s="320">
        <f>LOOKUP($A18,Barèmes!$A$65:$A$148,Barèmes!$N$65:$N$148)-LOOKUP($A18,Barèmes!$A$65:$A$148,Barèmes!O76:O159)+0.9825*LOOKUP($A18,Barèmes!$A$65:$A$148,Barèmes!$CH$65:$CH$148)+0.9825*LOOKUP($A18,Barèmes!$A$65:$A$148,Barèmes!$CJ$65:$CJ$148)+LOOKUP($A18,Barèmes!$A$65:$A$148,Barèmes!$CL$65:$CL$148)</f>
        <v>9.9302500000000002E-2</v>
      </c>
      <c r="P18" s="321">
        <f>C18/LOOKUP($A18,Barèmes!$A$65:$A$148,Barèmes!$C$65:$C$148)</f>
        <v>29463.764655791911</v>
      </c>
      <c r="Q18" s="321">
        <f>H18/LOOKUP($A18,Barèmes!$A$65:$A$148,Barèmes!$C$65:$C$148)</f>
        <v>23323.560297171862</v>
      </c>
      <c r="R18" s="321">
        <f>I18/LOOKUP($A18,Barèmes!$A$65:$A$148,Barèmes!$C$65:$C$148)</f>
        <v>24018.315867755435</v>
      </c>
      <c r="T18" s="321">
        <f>C18/LOOKUP($A18,Barèmes!$A$65:$A$148,Barèmes!$G$65:$G$148)</f>
        <v>25781.737075757144</v>
      </c>
      <c r="U18" s="321">
        <f>H18/LOOKUP($A18,Barèmes!$A$65:$A$148,Barèmes!$G$65:$G$148)</f>
        <v>20408.86174177497</v>
      </c>
      <c r="V18" s="321">
        <f>I18/LOOKUP($A18,Barèmes!$A$65:$A$148,Barèmes!$G$65:$G$148)</f>
        <v>21016.795102021326</v>
      </c>
      <c r="Y18" s="95">
        <v>1</v>
      </c>
      <c r="Z18" s="280">
        <f>IF($Y18=1,IF(I18&lt;LOOKUP($A18,Barèmes!$AB$65:$AB$148,Barèmes!$BM$65:$BM$148),LOOKUP($A18,Barèmes!$AB$65:$AB$148,Barèmes!$BQ$65:$BQ$148),IF(I18&lt;LOOKUP($A18,Barèmes!$AB$65:$AB$148,Barèmes!$BN$65:$BN$148),LOOKUP($A18,Barèmes!$AB$65:$AB$148,Barèmes!$BR$65:$BR$148),IF(I18&lt;LOOKUP($A18,Barèmes!$AB$65:$AB$148,Barèmes!$BO$65:$BO$148),LOOKUP($A18,Barèmes!$AB$65:$AB$148,Barèmes!$BS$65:$BS$148),LOOKUP($A18,Barèmes!$AB$65:$AB$148,Barèmes!$BT$65:$BT$148)))),IF($Y18=2,IF(I18&lt;LOOKUP($A18,Barèmes!$AB$65:$AB$148,Barèmes!$BW$65:$BW$148),LOOKUP($A18,Barèmes!$AB$65:$AB$148,Barèmes!$CA$65:$CA$148),IF(I18&lt;LOOKUP($A18,Barèmes!$AB$65:$AB$148,Barèmes!$BX$65:$BX$148),LOOKUP($A18,Barèmes!$AB$65:$AB$148,Barèmes!$CB$65:$CB$148),IF(I18&lt;LOOKUP($A18,Barèmes!$AB$65:$AB$148,Barèmes!$BY$65:$BY$148),LOOKUP($A18,Barèmes!$AB$65:$AB$148,Barèmes!$CC$65:$CC159),LOOKUP($A18,Barèmes!$AB$65:$AB$148,Barèmes!$CD$65:$CD$148))))))</f>
        <v>9.0999999999999998E-2</v>
      </c>
    </row>
    <row r="19" spans="1:26" x14ac:dyDescent="0.25">
      <c r="A19" s="15">
        <f>B19+Simulation!$D$4</f>
        <v>2029</v>
      </c>
      <c r="B19" s="19">
        <v>29</v>
      </c>
      <c r="C19" s="77">
        <f>IF(AND($B19&gt;=Simulation!$D$5,$B19&lt;Simulation!$D$6),IF(Simulation!$D$3=1,LOOKUP($B19,Info_cas_type!$B$5:$B$55,Info_cas_type!$C$5:$C$55)*LOOKUP($A19,Barèmes!$A$65:$A$148,Barèmes!$D$65:$D$148),IF(Simulation!$D$3=2,LOOKUP($B19,Info_cas_type!$B$5:$B$55,Info_cas_type!$D$5:$D$55)*LOOKUP($A19,Barèmes!$A$65:$A$148,Barèmes!$D$65:$D$148),IF(Simulation!$D$3="2P",LOOKUP($B19,Info_cas_type!$B$5:$B$55,Info_cas_type!$E$5:$E$55)*LOOKUP($A19,Barèmes!$A$65:$A$148,Barèmes!$D$65:$D$148),IF(Simulation!$D$3="2M",LOOKUP($B19,Info_cas_type!$B$5:$B$55,Info_cas_type!$F$5:$F$55)*LOOKUP($A19,Barèmes!$A$65:$A$148,Barèmes!$D$65:$D$148),IF(Simulation!$D$3="SMIC",LOOKUP($A19,Barèmes!$A$65:$A$148,Barèmes!$F$65:$F$148),LOOKUP($B19,Info_cas_type!$B$5:$B$55,Info_cas_type!$G$5:$G$55)*LOOKUP($A19,Barèmes!$A$65:$A$148,Barèmes!$D$65:$D$148)))))),0)*LOOKUP($B19,Info_cas_type!$B$5:$B$55,Info_cas_type!$H$5:$H$55)</f>
        <v>34928.624613048181</v>
      </c>
      <c r="D19" s="56">
        <f>MIN($C19,LOOKUP($A19,Barèmes!$A$65:$A$148,Barèmes!$V$65:$V$148))</f>
        <v>34928.624613048181</v>
      </c>
      <c r="E19" s="56">
        <f>MIN(F19,7*LOOKUP($A19,Barèmes!$A$65:$A$148,Barèmes!$V$65:$V$148))</f>
        <v>0</v>
      </c>
      <c r="F19" s="56">
        <f>IF($C19&gt;LOOKUP($A19,Barèmes!$A$65:$A$148,Barèmes!$V$65:$V$148),($C19-LOOKUP($A19,Barèmes!$A$65:$A$148,Barèmes!$V$65:$V$148)),0)</f>
        <v>0</v>
      </c>
      <c r="H19" s="81">
        <f t="shared" si="0"/>
        <v>27649.551636625863</v>
      </c>
      <c r="I19" s="56">
        <f>H19+LOOKUP($A19,Barèmes!$A$5:$A$148,Barèmes!$CK$5:$CK$148)*C19*(LOOKUP($A19,Barèmes!$CG$65:$CG$148,Barèmes!$CH$65:$CH$148)-LOOKUP($A19,Barèmes!$CG$65:$CG$148,Barèmes!$CI$65:$CI$148))</f>
        <v>28473.168605001538</v>
      </c>
      <c r="K19" s="320">
        <f>LOOKUP($A19,Barèmes!$A$65:$A$148,Barèmes!$K$65:$K$148)-LOOKUP($A19,Barèmes!$A$65:$A$148,Barèmes!$L$65:$L$148)+(LOOKUP($A19,Barèmes!$A$65:$A$148,Barèmes!$AC$65:$AC$148)-LOOKUP($A19,Barèmes!$A$65:$A$148,Barèmes!$AD$65:$AD$148))*LOOKUP($A19,Barèmes!$A$65:$A$148,Barèmes!$AI$65:$AI$148)+LOOKUP($A19,Barèmes!$A$65:$A$148,Barèmes!$AQ$65:$AQ$148)-LOOKUP($A19,Barèmes!$A$65:$A$148,Barèmes!$AR$65:$AR$148)+LOOKUP($A19,Barèmes!$A$65:$A$148,Barèmes!$CL$65:$CL$148)+LOOKUP($A19,Barèmes!$A$65:$A$148,Barèmes!$CM$65:$CM$148)+LOOKUP($A19,Barèmes!$A$5:$A$148,Barèmes!$CK$5:$CK$148)*(LOOKUP($A19,Barèmes!$A$65:$A$148,Barèmes!$CH$65:$CH$148)+LOOKUP($A19,Barèmes!$A$65:$A$148,Barèmes!$CJ$65:$CJ$148))</f>
        <v>0.20839849999999999</v>
      </c>
      <c r="L19" s="320">
        <f>K19+LOOKUP($A19,Barèmes!$A$65:$A$148,Barèmes!$AL$65:$AL$148)-LOOKUP($A19,Barèmes!$A$65:$A$148,Barèmes!$AM$65:$AM$148)+IF($A19&gt;2010,LOOKUP($A19,Barèmes!$CG$5:$CG$148,Barèmes!$CO$5:$CO$148),0)</f>
        <v>0.21003849999999999</v>
      </c>
      <c r="M19" s="320">
        <f>(LOOKUP($A19,Barèmes!$A$65:$A$148,Barèmes!$AF$65:$AF$148)-LOOKUP($A19,Barèmes!$A$65:$A$148,Barèmes!$AG$65:$AG$148))*LOOKUP($A19,Barèmes!$A$65:$A$148,Barèmes!$AI$65:$AI$148)+LOOKUP($A19,Barèmes!$A$65:$A$148,Barèmes!$AL$65:$AL$148)-LOOKUP($A19,Barèmes!$A$65:$A$148,Barèmes!$AM$65:$AM$148)+LOOKUP($A19,Barèmes!$A$65:$A$148,Barèmes!$AV$65:$AV$148)-LOOKUP($A19,Barèmes!$A$65:$A$148,Barèmes!$AW$65:$AW$148)+LOOKUP($A19,Barèmes!$A$65:$A$148,Barèmes!$CN$65:$CN$148)+LOOKUP($A19,Barèmes!$A$65:$A$148,Barèmes!$CO$65:$CO$148)</f>
        <v>9.8799999999999999E-2</v>
      </c>
      <c r="N19" s="320">
        <f>LOOKUP($A19,Barèmes!$A$65:$A$148,Barèmes!$N$65:$N$148)-LOOKUP($A19,Barèmes!$A$65:$A$148,Barèmes!O77:O160)+0.9825*LOOKUP($A19,Barèmes!$A$65:$A$148,Barèmes!$CH$65:$CH$148)+0.9825*LOOKUP($A19,Barèmes!$A$65:$A$148,Barèmes!$CJ$65:$CJ$148)+LOOKUP($A19,Barèmes!$A$65:$A$148,Barèmes!$CL$65:$CL$148)</f>
        <v>9.9302500000000002E-2</v>
      </c>
      <c r="P19" s="321">
        <f>C19/LOOKUP($A19,Barèmes!$A$65:$A$148,Barèmes!$C$65:$C$148)</f>
        <v>30931.594517988287</v>
      </c>
      <c r="Q19" s="321">
        <f>H19/LOOKUP($A19,Barèmes!$A$65:$A$148,Barèmes!$C$65:$C$148)</f>
        <v>24485.496617831308</v>
      </c>
      <c r="R19" s="321">
        <f>I19/LOOKUP($A19,Barèmes!$A$65:$A$148,Barèmes!$C$65:$C$148)</f>
        <v>25214.863616565468</v>
      </c>
      <c r="T19" s="321">
        <f>C19/LOOKUP($A19,Barèmes!$A$65:$A$148,Barèmes!$G$65:$G$148)</f>
        <v>26790.196163296754</v>
      </c>
      <c r="U19" s="321">
        <f>H19/LOOKUP($A19,Barèmes!$A$65:$A$148,Barèmes!$G$65:$G$148)</f>
        <v>21207.15946815996</v>
      </c>
      <c r="V19" s="321">
        <f>I19/LOOKUP($A19,Barèmes!$A$65:$A$148,Barèmes!$G$65:$G$148)</f>
        <v>21838.872293690496</v>
      </c>
      <c r="Y19" s="95">
        <v>1</v>
      </c>
      <c r="Z19" s="280">
        <f>IF($Y19=1,IF(I19&lt;LOOKUP($A19,Barèmes!$AB$65:$AB$148,Barèmes!$BM$65:$BM$148),LOOKUP($A19,Barèmes!$AB$65:$AB$148,Barèmes!$BQ$65:$BQ$148),IF(I19&lt;LOOKUP($A19,Barèmes!$AB$65:$AB$148,Barèmes!$BN$65:$BN$148),LOOKUP($A19,Barèmes!$AB$65:$AB$148,Barèmes!$BR$65:$BR$148),IF(I19&lt;LOOKUP($A19,Barèmes!$AB$65:$AB$148,Barèmes!$BO$65:$BO$148),LOOKUP($A19,Barèmes!$AB$65:$AB$148,Barèmes!$BS$65:$BS$148),LOOKUP($A19,Barèmes!$AB$65:$AB$148,Barèmes!$BT$65:$BT$148)))),IF($Y19=2,IF(I19&lt;LOOKUP($A19,Barèmes!$AB$65:$AB$148,Barèmes!$BW$65:$BW$148),LOOKUP($A19,Barèmes!$AB$65:$AB$148,Barèmes!$CA$65:$CA$148),IF(I19&lt;LOOKUP($A19,Barèmes!$AB$65:$AB$148,Barèmes!$BX$65:$BX$148),LOOKUP($A19,Barèmes!$AB$65:$AB$148,Barèmes!$CB$65:$CB$148),IF(I19&lt;LOOKUP($A19,Barèmes!$AB$65:$AB$148,Barèmes!$BY$65:$BY$148),LOOKUP($A19,Barèmes!$AB$65:$AB$148,Barèmes!$CC$65:$CC160),LOOKUP($A19,Barèmes!$AB$65:$AB$148,Barèmes!$CD$65:$CD$148))))))</f>
        <v>9.0999999999999998E-2</v>
      </c>
    </row>
    <row r="20" spans="1:26" x14ac:dyDescent="0.25">
      <c r="A20" s="15">
        <f>B20+Simulation!$D$4</f>
        <v>2030</v>
      </c>
      <c r="B20" s="19">
        <v>30</v>
      </c>
      <c r="C20" s="77">
        <f>IF(AND($B20&gt;=Simulation!$D$5,$B20&lt;Simulation!$D$6),IF(Simulation!$D$3=1,LOOKUP($B20,Info_cas_type!$B$5:$B$55,Info_cas_type!$C$5:$C$55)*LOOKUP($A20,Barèmes!$A$65:$A$148,Barèmes!$D$65:$D$148),IF(Simulation!$D$3=2,LOOKUP($B20,Info_cas_type!$B$5:$B$55,Info_cas_type!$D$5:$D$55)*LOOKUP($A20,Barèmes!$A$65:$A$148,Barèmes!$D$65:$D$148),IF(Simulation!$D$3="2P",LOOKUP($B20,Info_cas_type!$B$5:$B$55,Info_cas_type!$E$5:$E$55)*LOOKUP($A20,Barèmes!$A$65:$A$148,Barèmes!$D$65:$D$148),IF(Simulation!$D$3="2M",LOOKUP($B20,Info_cas_type!$B$5:$B$55,Info_cas_type!$F$5:$F$55)*LOOKUP($A20,Barèmes!$A$65:$A$148,Barèmes!$D$65:$D$148),IF(Simulation!$D$3="SMIC",LOOKUP($A20,Barèmes!$A$65:$A$148,Barèmes!$F$65:$F$148),LOOKUP($B20,Info_cas_type!$B$5:$B$55,Info_cas_type!$G$5:$G$55)*LOOKUP($A20,Barèmes!$A$65:$A$148,Barèmes!$D$65:$D$148)))))),0)*LOOKUP($B20,Info_cas_type!$B$5:$B$55,Info_cas_type!$H$5:$H$55)</f>
        <v>36974.317253504931</v>
      </c>
      <c r="D20" s="56">
        <f>MIN($C20,LOOKUP($A20,Barèmes!$A$65:$A$148,Barèmes!$V$65:$V$148))</f>
        <v>36974.317253504931</v>
      </c>
      <c r="E20" s="56">
        <f>MIN(F20,7*LOOKUP($A20,Barèmes!$A$65:$A$148,Barèmes!$V$65:$V$148))</f>
        <v>0</v>
      </c>
      <c r="F20" s="56">
        <f>IF($C20&gt;LOOKUP($A20,Barèmes!$A$65:$A$148,Barèmes!$V$65:$V$148),($C20-LOOKUP($A20,Barèmes!$A$65:$A$148,Barèmes!$V$65:$V$148)),0)</f>
        <v>0</v>
      </c>
      <c r="H20" s="81">
        <f t="shared" si="0"/>
        <v>29268.924999350387</v>
      </c>
      <c r="I20" s="56">
        <f>H20+LOOKUP($A20,Barèmes!$A$5:$A$148,Barèmes!$CK$5:$CK$148)*C20*(LOOKUP($A20,Barèmes!$CG$65:$CG$148,Barèmes!$CH$65:$CH$148)-LOOKUP($A20,Barèmes!$CG$65:$CG$148,Barèmes!$CI$65:$CI$148))</f>
        <v>30140.779400188032</v>
      </c>
      <c r="K20" s="320">
        <f>LOOKUP($A20,Barèmes!$A$65:$A$148,Barèmes!$K$65:$K$148)-LOOKUP($A20,Barèmes!$A$65:$A$148,Barèmes!$L$65:$L$148)+(LOOKUP($A20,Barèmes!$A$65:$A$148,Barèmes!$AC$65:$AC$148)-LOOKUP($A20,Barèmes!$A$65:$A$148,Barèmes!$AD$65:$AD$148))*LOOKUP($A20,Barèmes!$A$65:$A$148,Barèmes!$AI$65:$AI$148)+LOOKUP($A20,Barèmes!$A$65:$A$148,Barèmes!$AQ$65:$AQ$148)-LOOKUP($A20,Barèmes!$A$65:$A$148,Barèmes!$AR$65:$AR$148)+LOOKUP($A20,Barèmes!$A$65:$A$148,Barèmes!$CL$65:$CL$148)+LOOKUP($A20,Barèmes!$A$65:$A$148,Barèmes!$CM$65:$CM$148)+LOOKUP($A20,Barèmes!$A$5:$A$148,Barèmes!$CK$5:$CK$148)*(LOOKUP($A20,Barèmes!$A$65:$A$148,Barèmes!$CH$65:$CH$148)+LOOKUP($A20,Barèmes!$A$65:$A$148,Barèmes!$CJ$65:$CJ$148))</f>
        <v>0.20839849999999999</v>
      </c>
      <c r="L20" s="320">
        <f>K20+LOOKUP($A20,Barèmes!$A$65:$A$148,Barèmes!$AL$65:$AL$148)-LOOKUP($A20,Barèmes!$A$65:$A$148,Barèmes!$AM$65:$AM$148)+IF($A20&gt;2010,LOOKUP($A20,Barèmes!$CG$5:$CG$148,Barèmes!$CO$5:$CO$148),0)</f>
        <v>0.21003849999999999</v>
      </c>
      <c r="M20" s="320">
        <f>(LOOKUP($A20,Barèmes!$A$65:$A$148,Barèmes!$AF$65:$AF$148)-LOOKUP($A20,Barèmes!$A$65:$A$148,Barèmes!$AG$65:$AG$148))*LOOKUP($A20,Barèmes!$A$65:$A$148,Barèmes!$AI$65:$AI$148)+LOOKUP($A20,Barèmes!$A$65:$A$148,Barèmes!$AL$65:$AL$148)-LOOKUP($A20,Barèmes!$A$65:$A$148,Barèmes!$AM$65:$AM$148)+LOOKUP($A20,Barèmes!$A$65:$A$148,Barèmes!$AV$65:$AV$148)-LOOKUP($A20,Barèmes!$A$65:$A$148,Barèmes!$AW$65:$AW$148)+LOOKUP($A20,Barèmes!$A$65:$A$148,Barèmes!$CN$65:$CN$148)+LOOKUP($A20,Barèmes!$A$65:$A$148,Barèmes!$CO$65:$CO$148)</f>
        <v>9.8799999999999999E-2</v>
      </c>
      <c r="N20" s="320">
        <f>LOOKUP($A20,Barèmes!$A$65:$A$148,Barèmes!$N$65:$N$148)-LOOKUP($A20,Barèmes!$A$65:$A$148,Barèmes!O78:O161)+0.9825*LOOKUP($A20,Barèmes!$A$65:$A$148,Barèmes!$CH$65:$CH$148)+0.9825*LOOKUP($A20,Barèmes!$A$65:$A$148,Barèmes!$CJ$65:$CJ$148)+LOOKUP($A20,Barèmes!$A$65:$A$148,Barèmes!$CL$65:$CL$148)</f>
        <v>9.9302500000000002E-2</v>
      </c>
      <c r="P20" s="321">
        <f>C20/LOOKUP($A20,Barèmes!$A$65:$A$148,Barèmes!$C$65:$C$148)</f>
        <v>32180.039219781243</v>
      </c>
      <c r="Q20" s="321">
        <f>H20/LOOKUP($A20,Barèmes!$A$65:$A$148,Barèmes!$C$65:$C$148)</f>
        <v>25473.767316437665</v>
      </c>
      <c r="R20" s="321">
        <f>I20/LOOKUP($A20,Barèmes!$A$65:$A$148,Barèmes!$C$65:$C$148)</f>
        <v>26232.572641240105</v>
      </c>
      <c r="T20" s="321">
        <f>C20/LOOKUP($A20,Barèmes!$A$65:$A$148,Barèmes!$G$65:$G$148)</f>
        <v>27570.964417102179</v>
      </c>
      <c r="U20" s="321">
        <f>H20/LOOKUP($A20,Barèmes!$A$65:$A$148,Barèmes!$G$65:$G$148)</f>
        <v>21825.216789024715</v>
      </c>
      <c r="V20" s="321">
        <f>I20/LOOKUP($A20,Barèmes!$A$65:$A$148,Barèmes!$G$65:$G$148)</f>
        <v>22475.340129979984</v>
      </c>
      <c r="Y20" s="95">
        <v>1</v>
      </c>
      <c r="Z20" s="280">
        <f>IF($Y20=1,IF(I20&lt;LOOKUP($A20,Barèmes!$AB$65:$AB$148,Barèmes!$BM$65:$BM$148),LOOKUP($A20,Barèmes!$AB$65:$AB$148,Barèmes!$BQ$65:$BQ$148),IF(I20&lt;LOOKUP($A20,Barèmes!$AB$65:$AB$148,Barèmes!$BN$65:$BN$148),LOOKUP($A20,Barèmes!$AB$65:$AB$148,Barèmes!$BR$65:$BR$148),IF(I20&lt;LOOKUP($A20,Barèmes!$AB$65:$AB$148,Barèmes!$BO$65:$BO$148),LOOKUP($A20,Barèmes!$AB$65:$AB$148,Barèmes!$BS$65:$BS$148),LOOKUP($A20,Barèmes!$AB$65:$AB$148,Barèmes!$BT$65:$BT$148)))),IF($Y20=2,IF(I20&lt;LOOKUP($A20,Barèmes!$AB$65:$AB$148,Barèmes!$BW$65:$BW$148),LOOKUP($A20,Barèmes!$AB$65:$AB$148,Barèmes!$CA$65:$CA$148),IF(I20&lt;LOOKUP($A20,Barèmes!$AB$65:$AB$148,Barèmes!$BX$65:$BX$148),LOOKUP($A20,Barèmes!$AB$65:$AB$148,Barèmes!$CB$65:$CB$148),IF(I20&lt;LOOKUP($A20,Barèmes!$AB$65:$AB$148,Barèmes!$BY$65:$BY$148),LOOKUP($A20,Barèmes!$AB$65:$AB$148,Barèmes!$CC$65:$CC161),LOOKUP($A20,Barèmes!$AB$65:$AB$148,Barèmes!$CD$65:$CD$148))))))</f>
        <v>9.0999999999999998E-2</v>
      </c>
    </row>
    <row r="21" spans="1:26" x14ac:dyDescent="0.25">
      <c r="A21" s="15">
        <f>B21+Simulation!$D$4</f>
        <v>2031</v>
      </c>
      <c r="B21" s="19">
        <v>31</v>
      </c>
      <c r="C21" s="77">
        <f>IF(AND($B21&gt;=Simulation!$D$5,$B21&lt;Simulation!$D$6),IF(Simulation!$D$3=1,LOOKUP($B21,Info_cas_type!$B$5:$B$55,Info_cas_type!$C$5:$C$55)*LOOKUP($A21,Barèmes!$A$65:$A$148,Barèmes!$D$65:$D$148),IF(Simulation!$D$3=2,LOOKUP($B21,Info_cas_type!$B$5:$B$55,Info_cas_type!$D$5:$D$55)*LOOKUP($A21,Barèmes!$A$65:$A$148,Barèmes!$D$65:$D$148),IF(Simulation!$D$3="2P",LOOKUP($B21,Info_cas_type!$B$5:$B$55,Info_cas_type!$E$5:$E$55)*LOOKUP($A21,Barèmes!$A$65:$A$148,Barèmes!$D$65:$D$148),IF(Simulation!$D$3="2M",LOOKUP($B21,Info_cas_type!$B$5:$B$55,Info_cas_type!$F$5:$F$55)*LOOKUP($A21,Barèmes!$A$65:$A$148,Barèmes!$D$65:$D$148),IF(Simulation!$D$3="SMIC",LOOKUP($A21,Barèmes!$A$65:$A$148,Barèmes!$F$65:$F$148),LOOKUP($B21,Info_cas_type!$B$5:$B$55,Info_cas_type!$G$5:$G$55)*LOOKUP($A21,Barèmes!$A$65:$A$148,Barèmes!$D$65:$D$148)))))),0)*LOOKUP($B21,Info_cas_type!$B$5:$B$55,Info_cas_type!$H$5:$H$55)</f>
        <v>38676.619293091921</v>
      </c>
      <c r="D21" s="56">
        <f>MIN($C21,LOOKUP($A21,Barèmes!$A$65:$A$148,Barèmes!$V$65:$V$148))</f>
        <v>38676.619293091921</v>
      </c>
      <c r="E21" s="56">
        <f>MIN(F21,7*LOOKUP($A21,Barèmes!$A$65:$A$148,Barèmes!$V$65:$V$148))</f>
        <v>0</v>
      </c>
      <c r="F21" s="56">
        <f>IF($C21&gt;LOOKUP($A21,Barèmes!$A$65:$A$148,Barèmes!$V$65:$V$148),($C21-LOOKUP($A21,Barèmes!$A$65:$A$148,Barèmes!$V$65:$V$148)),0)</f>
        <v>0</v>
      </c>
      <c r="H21" s="81">
        <f t="shared" si="0"/>
        <v>30616.469847340508</v>
      </c>
      <c r="I21" s="56">
        <f>H21+LOOKUP($A21,Barèmes!$A$5:$A$148,Barèmes!$CK$5:$CK$148)*C21*(LOOKUP($A21,Barèmes!$CG$65:$CG$148,Barèmes!$CH$65:$CH$148)-LOOKUP($A21,Barèmes!$CG$65:$CG$148,Barèmes!$CI$65:$CI$148))</f>
        <v>31528.464530271616</v>
      </c>
      <c r="K21" s="320">
        <f>LOOKUP($A21,Barèmes!$A$65:$A$148,Barèmes!$K$65:$K$148)-LOOKUP($A21,Barèmes!$A$65:$A$148,Barèmes!$L$65:$L$148)+(LOOKUP($A21,Barèmes!$A$65:$A$148,Barèmes!$AC$65:$AC$148)-LOOKUP($A21,Barèmes!$A$65:$A$148,Barèmes!$AD$65:$AD$148))*LOOKUP($A21,Barèmes!$A$65:$A$148,Barèmes!$AI$65:$AI$148)+LOOKUP($A21,Barèmes!$A$65:$A$148,Barèmes!$AQ$65:$AQ$148)-LOOKUP($A21,Barèmes!$A$65:$A$148,Barèmes!$AR$65:$AR$148)+LOOKUP($A21,Barèmes!$A$65:$A$148,Barèmes!$CL$65:$CL$148)+LOOKUP($A21,Barèmes!$A$65:$A$148,Barèmes!$CM$65:$CM$148)+LOOKUP($A21,Barèmes!$A$5:$A$148,Barèmes!$CK$5:$CK$148)*(LOOKUP($A21,Barèmes!$A$65:$A$148,Barèmes!$CH$65:$CH$148)+LOOKUP($A21,Barèmes!$A$65:$A$148,Barèmes!$CJ$65:$CJ$148))</f>
        <v>0.20839849999999999</v>
      </c>
      <c r="L21" s="320">
        <f>K21+LOOKUP($A21,Barèmes!$A$65:$A$148,Barèmes!$AL$65:$AL$148)-LOOKUP($A21,Barèmes!$A$65:$A$148,Barèmes!$AM$65:$AM$148)+IF($A21&gt;2010,LOOKUP($A21,Barèmes!$CG$5:$CG$148,Barèmes!$CO$5:$CO$148),0)</f>
        <v>0.21003849999999999</v>
      </c>
      <c r="M21" s="320">
        <f>(LOOKUP($A21,Barèmes!$A$65:$A$148,Barèmes!$AF$65:$AF$148)-LOOKUP($A21,Barèmes!$A$65:$A$148,Barèmes!$AG$65:$AG$148))*LOOKUP($A21,Barèmes!$A$65:$A$148,Barèmes!$AI$65:$AI$148)+LOOKUP($A21,Barèmes!$A$65:$A$148,Barèmes!$AL$65:$AL$148)-LOOKUP($A21,Barèmes!$A$65:$A$148,Barèmes!$AM$65:$AM$148)+LOOKUP($A21,Barèmes!$A$65:$A$148,Barèmes!$AV$65:$AV$148)-LOOKUP($A21,Barèmes!$A$65:$A$148,Barèmes!$AW$65:$AW$148)+LOOKUP($A21,Barèmes!$A$65:$A$148,Barèmes!$CN$65:$CN$148)+LOOKUP($A21,Barèmes!$A$65:$A$148,Barèmes!$CO$65:$CO$148)</f>
        <v>9.8799999999999999E-2</v>
      </c>
      <c r="N21" s="320">
        <f>LOOKUP($A21,Barèmes!$A$65:$A$148,Barèmes!$N$65:$N$148)-LOOKUP($A21,Barèmes!$A$65:$A$148,Barèmes!O79:O162)+0.9825*LOOKUP($A21,Barèmes!$A$65:$A$148,Barèmes!$CH$65:$CH$148)+0.9825*LOOKUP($A21,Barèmes!$A$65:$A$148,Barèmes!$CJ$65:$CJ$148)+LOOKUP($A21,Barèmes!$A$65:$A$148,Barèmes!$CL$65:$CL$148)</f>
        <v>9.9302500000000002E-2</v>
      </c>
      <c r="P21" s="321">
        <f>C21/LOOKUP($A21,Barèmes!$A$65:$A$148,Barèmes!$C$65:$C$148)</f>
        <v>33082.66547289741</v>
      </c>
      <c r="Q21" s="321">
        <f>H21/LOOKUP($A21,Barèmes!$A$65:$A$148,Barèmes!$C$65:$C$148)</f>
        <v>26188.2876123438</v>
      </c>
      <c r="R21" s="321">
        <f>I21/LOOKUP($A21,Barèmes!$A$65:$A$148,Barèmes!$C$65:$C$148)</f>
        <v>26968.376864194721</v>
      </c>
      <c r="T21" s="321">
        <f>C21/LOOKUP($A21,Barèmes!$A$65:$A$148,Barèmes!$G$65:$G$148)</f>
        <v>27997.144940295639</v>
      </c>
      <c r="U21" s="321">
        <f>H21/LOOKUP($A21,Barèmes!$A$65:$A$148,Barèmes!$G$65:$G$148)</f>
        <v>22162.581930455442</v>
      </c>
      <c r="V21" s="321">
        <f>I21/LOOKUP($A21,Barèmes!$A$65:$A$148,Barèmes!$G$65:$G$148)</f>
        <v>22822.754608147614</v>
      </c>
      <c r="Y21" s="95">
        <v>1</v>
      </c>
      <c r="Z21" s="280">
        <f>IF($Y21=1,IF(I21&lt;LOOKUP($A21,Barèmes!$AB$65:$AB$148,Barèmes!$BM$65:$BM$148),LOOKUP($A21,Barèmes!$AB$65:$AB$148,Barèmes!$BQ$65:$BQ$148),IF(I21&lt;LOOKUP($A21,Barèmes!$AB$65:$AB$148,Barèmes!$BN$65:$BN$148),LOOKUP($A21,Barèmes!$AB$65:$AB$148,Barèmes!$BR$65:$BR$148),IF(I21&lt;LOOKUP($A21,Barèmes!$AB$65:$AB$148,Barèmes!$BO$65:$BO$148),LOOKUP($A21,Barèmes!$AB$65:$AB$148,Barèmes!$BS$65:$BS$148),LOOKUP($A21,Barèmes!$AB$65:$AB$148,Barèmes!$BT$65:$BT$148)))),IF($Y21=2,IF(I21&lt;LOOKUP($A21,Barèmes!$AB$65:$AB$148,Barèmes!$BW$65:$BW$148),LOOKUP($A21,Barèmes!$AB$65:$AB$148,Barèmes!$CA$65:$CA$148),IF(I21&lt;LOOKUP($A21,Barèmes!$AB$65:$AB$148,Barèmes!$BX$65:$BX$148),LOOKUP($A21,Barèmes!$AB$65:$AB$148,Barèmes!$CB$65:$CB$148),IF(I21&lt;LOOKUP($A21,Barèmes!$AB$65:$AB$148,Barèmes!$BY$65:$BY$148),LOOKUP($A21,Barèmes!$AB$65:$AB$148,Barèmes!$CC$65:$CC162),LOOKUP($A21,Barèmes!$AB$65:$AB$148,Barèmes!$CD$65:$CD$148))))))</f>
        <v>9.0999999999999998E-2</v>
      </c>
    </row>
    <row r="22" spans="1:26" x14ac:dyDescent="0.25">
      <c r="A22" s="15">
        <f>B22+Simulation!$D$4</f>
        <v>2032</v>
      </c>
      <c r="B22" s="19">
        <v>32</v>
      </c>
      <c r="C22" s="77">
        <f>IF(AND($B22&gt;=Simulation!$D$5,$B22&lt;Simulation!$D$6),IF(Simulation!$D$3=1,LOOKUP($B22,Info_cas_type!$B$5:$B$55,Info_cas_type!$C$5:$C$55)*LOOKUP($A22,Barèmes!$A$65:$A$148,Barèmes!$D$65:$D$148),IF(Simulation!$D$3=2,LOOKUP($B22,Info_cas_type!$B$5:$B$55,Info_cas_type!$D$5:$D$55)*LOOKUP($A22,Barèmes!$A$65:$A$148,Barèmes!$D$65:$D$148),IF(Simulation!$D$3="2P",LOOKUP($B22,Info_cas_type!$B$5:$B$55,Info_cas_type!$E$5:$E$55)*LOOKUP($A22,Barèmes!$A$65:$A$148,Barèmes!$D$65:$D$148),IF(Simulation!$D$3="2M",LOOKUP($B22,Info_cas_type!$B$5:$B$55,Info_cas_type!$F$5:$F$55)*LOOKUP($A22,Barèmes!$A$65:$A$148,Barèmes!$D$65:$D$148),IF(Simulation!$D$3="SMIC",LOOKUP($A22,Barèmes!$A$65:$A$148,Barèmes!$F$65:$F$148),LOOKUP($B22,Info_cas_type!$B$5:$B$55,Info_cas_type!$G$5:$G$55)*LOOKUP($A22,Barèmes!$A$65:$A$148,Barèmes!$D$65:$D$148)))))),0)*LOOKUP($B22,Info_cas_type!$B$5:$B$55,Info_cas_type!$H$5:$H$55)</f>
        <v>40930.176266069677</v>
      </c>
      <c r="D22" s="56">
        <f>MIN($C22,LOOKUP($A22,Barèmes!$A$65:$A$148,Barèmes!$V$65:$V$148))</f>
        <v>40930.176266069677</v>
      </c>
      <c r="E22" s="56">
        <f>MIN(F22,7*LOOKUP($A22,Barèmes!$A$65:$A$148,Barèmes!$V$65:$V$148))</f>
        <v>0</v>
      </c>
      <c r="F22" s="56">
        <f>IF($C22&gt;LOOKUP($A22,Barèmes!$A$65:$A$148,Barèmes!$V$65:$V$148),($C22-LOOKUP($A22,Barèmes!$A$65:$A$148,Barèmes!$V$65:$V$148)),0)</f>
        <v>0</v>
      </c>
      <c r="H22" s="81">
        <f t="shared" si="0"/>
        <v>32400.388927485157</v>
      </c>
      <c r="I22" s="56">
        <f>H22+LOOKUP($A22,Barèmes!$A$5:$A$148,Barèmes!$CK$5:$CK$148)*C22*(LOOKUP($A22,Barèmes!$CG$65:$CG$148,Barèmes!$CH$65:$CH$148)-LOOKUP($A22,Barèmes!$CG$65:$CG$148,Barèmes!$CI$65:$CI$148))</f>
        <v>33365.522483839079</v>
      </c>
      <c r="K22" s="320">
        <f>LOOKUP($A22,Barèmes!$A$65:$A$148,Barèmes!$K$65:$K$148)-LOOKUP($A22,Barèmes!$A$65:$A$148,Barèmes!$L$65:$L$148)+(LOOKUP($A22,Barèmes!$A$65:$A$148,Barèmes!$AC$65:$AC$148)-LOOKUP($A22,Barèmes!$A$65:$A$148,Barèmes!$AD$65:$AD$148))*LOOKUP($A22,Barèmes!$A$65:$A$148,Barèmes!$AI$65:$AI$148)+LOOKUP($A22,Barèmes!$A$65:$A$148,Barèmes!$AQ$65:$AQ$148)-LOOKUP($A22,Barèmes!$A$65:$A$148,Barèmes!$AR$65:$AR$148)+LOOKUP($A22,Barèmes!$A$65:$A$148,Barèmes!$CL$65:$CL$148)+LOOKUP($A22,Barèmes!$A$65:$A$148,Barèmes!$CM$65:$CM$148)+LOOKUP($A22,Barèmes!$A$5:$A$148,Barèmes!$CK$5:$CK$148)*(LOOKUP($A22,Barèmes!$A$65:$A$148,Barèmes!$CH$65:$CH$148)+LOOKUP($A22,Barèmes!$A$65:$A$148,Barèmes!$CJ$65:$CJ$148))</f>
        <v>0.20839849999999999</v>
      </c>
      <c r="L22" s="320">
        <f>K22+LOOKUP($A22,Barèmes!$A$65:$A$148,Barèmes!$AL$65:$AL$148)-LOOKUP($A22,Barèmes!$A$65:$A$148,Barèmes!$AM$65:$AM$148)+IF($A22&gt;2010,LOOKUP($A22,Barèmes!$CG$5:$CG$148,Barèmes!$CO$5:$CO$148),0)</f>
        <v>0.21003849999999999</v>
      </c>
      <c r="M22" s="320">
        <f>(LOOKUP($A22,Barèmes!$A$65:$A$148,Barèmes!$AF$65:$AF$148)-LOOKUP($A22,Barèmes!$A$65:$A$148,Barèmes!$AG$65:$AG$148))*LOOKUP($A22,Barèmes!$A$65:$A$148,Barèmes!$AI$65:$AI$148)+LOOKUP($A22,Barèmes!$A$65:$A$148,Barèmes!$AL$65:$AL$148)-LOOKUP($A22,Barèmes!$A$65:$A$148,Barèmes!$AM$65:$AM$148)+LOOKUP($A22,Barèmes!$A$65:$A$148,Barèmes!$AV$65:$AV$148)-LOOKUP($A22,Barèmes!$A$65:$A$148,Barèmes!$AW$65:$AW$148)+LOOKUP($A22,Barèmes!$A$65:$A$148,Barèmes!$CN$65:$CN$148)+LOOKUP($A22,Barèmes!$A$65:$A$148,Barèmes!$CO$65:$CO$148)</f>
        <v>9.8799999999999999E-2</v>
      </c>
      <c r="N22" s="320">
        <f>LOOKUP($A22,Barèmes!$A$65:$A$148,Barèmes!$N$65:$N$148)-LOOKUP($A22,Barèmes!$A$65:$A$148,Barèmes!O80:O163)+0.9825*LOOKUP($A22,Barèmes!$A$65:$A$148,Barèmes!$CH$65:$CH$148)+0.9825*LOOKUP($A22,Barèmes!$A$65:$A$148,Barèmes!$CJ$65:$CJ$148)+LOOKUP($A22,Barèmes!$A$65:$A$148,Barèmes!$CL$65:$CL$148)</f>
        <v>9.9302500000000002E-2</v>
      </c>
      <c r="P22" s="321">
        <f>C22/LOOKUP($A22,Barèmes!$A$65:$A$148,Barèmes!$C$65:$C$148)</f>
        <v>34408.139072377395</v>
      </c>
      <c r="Q22" s="321">
        <f>H22/LOOKUP($A22,Barèmes!$A$65:$A$148,Barèmes!$C$65:$C$148)</f>
        <v>27237.534501902552</v>
      </c>
      <c r="R22" s="321">
        <f>I22/LOOKUP($A22,Barèmes!$A$65:$A$148,Barèmes!$C$65:$C$148)</f>
        <v>28048.878421229212</v>
      </c>
      <c r="T22" s="321">
        <f>C22/LOOKUP($A22,Barèmes!$A$65:$A$148,Barèmes!$G$65:$G$148)</f>
        <v>28745.177301811247</v>
      </c>
      <c r="U22" s="321">
        <f>H22/LOOKUP($A22,Barèmes!$A$65:$A$148,Barèmes!$G$65:$G$148)</f>
        <v>22754.725469879737</v>
      </c>
      <c r="V22" s="321">
        <f>I22/LOOKUP($A22,Barèmes!$A$65:$A$148,Barèmes!$G$65:$G$148)</f>
        <v>23432.536750656443</v>
      </c>
      <c r="Y22" s="95">
        <v>1</v>
      </c>
      <c r="Z22" s="280">
        <f>IF($Y22=1,IF(I22&lt;LOOKUP($A22,Barèmes!$AB$65:$AB$148,Barèmes!$BM$65:$BM$148),LOOKUP($A22,Barèmes!$AB$65:$AB$148,Barèmes!$BQ$65:$BQ$148),IF(I22&lt;LOOKUP($A22,Barèmes!$AB$65:$AB$148,Barèmes!$BN$65:$BN$148),LOOKUP($A22,Barèmes!$AB$65:$AB$148,Barèmes!$BR$65:$BR$148),IF(I22&lt;LOOKUP($A22,Barèmes!$AB$65:$AB$148,Barèmes!$BO$65:$BO$148),LOOKUP($A22,Barèmes!$AB$65:$AB$148,Barèmes!$BS$65:$BS$148),LOOKUP($A22,Barèmes!$AB$65:$AB$148,Barèmes!$BT$65:$BT$148)))),IF($Y22=2,IF(I22&lt;LOOKUP($A22,Barèmes!$AB$65:$AB$148,Barèmes!$BW$65:$BW$148),LOOKUP($A22,Barèmes!$AB$65:$AB$148,Barèmes!$CA$65:$CA$148),IF(I22&lt;LOOKUP($A22,Barèmes!$AB$65:$AB$148,Barèmes!$BX$65:$BX$148),LOOKUP($A22,Barèmes!$AB$65:$AB$148,Barèmes!$CB$65:$CB$148),IF(I22&lt;LOOKUP($A22,Barèmes!$AB$65:$AB$148,Barèmes!$BY$65:$BY$148),LOOKUP($A22,Barèmes!$AB$65:$AB$148,Barèmes!$CC$65:$CC163),LOOKUP($A22,Barèmes!$AB$65:$AB$148,Barèmes!$CD$65:$CD$148))))))</f>
        <v>9.0999999999999998E-2</v>
      </c>
    </row>
    <row r="23" spans="1:26" x14ac:dyDescent="0.25">
      <c r="A23" s="15">
        <f>B23+Simulation!$D$4</f>
        <v>2033</v>
      </c>
      <c r="B23" s="19">
        <v>33</v>
      </c>
      <c r="C23" s="77">
        <f>IF(AND($B23&gt;=Simulation!$D$5,$B23&lt;Simulation!$D$6),IF(Simulation!$D$3=1,LOOKUP($B23,Info_cas_type!$B$5:$B$55,Info_cas_type!$C$5:$C$55)*LOOKUP($A23,Barèmes!$A$65:$A$148,Barèmes!$D$65:$D$148),IF(Simulation!$D$3=2,LOOKUP($B23,Info_cas_type!$B$5:$B$55,Info_cas_type!$D$5:$D$55)*LOOKUP($A23,Barèmes!$A$65:$A$148,Barèmes!$D$65:$D$148),IF(Simulation!$D$3="2P",LOOKUP($B23,Info_cas_type!$B$5:$B$55,Info_cas_type!$E$5:$E$55)*LOOKUP($A23,Barèmes!$A$65:$A$148,Barèmes!$D$65:$D$148),IF(Simulation!$D$3="2M",LOOKUP($B23,Info_cas_type!$B$5:$B$55,Info_cas_type!$F$5:$F$55)*LOOKUP($A23,Barèmes!$A$65:$A$148,Barèmes!$D$65:$D$148),IF(Simulation!$D$3="SMIC",LOOKUP($A23,Barèmes!$A$65:$A$148,Barèmes!$F$65:$F$148),LOOKUP($B23,Info_cas_type!$B$5:$B$55,Info_cas_type!$G$5:$G$55)*LOOKUP($A23,Barèmes!$A$65:$A$148,Barèmes!$D$65:$D$148)))))),0)*LOOKUP($B23,Info_cas_type!$B$5:$B$55,Info_cas_type!$H$5:$H$55)</f>
        <v>43509.933574517556</v>
      </c>
      <c r="D23" s="56">
        <f>MIN($C23,LOOKUP($A23,Barèmes!$A$65:$A$148,Barèmes!$V$65:$V$148))</f>
        <v>43509.933574517556</v>
      </c>
      <c r="E23" s="56">
        <f>MIN(F23,7*LOOKUP($A23,Barèmes!$A$65:$A$148,Barèmes!$V$65:$V$148))</f>
        <v>0</v>
      </c>
      <c r="F23" s="56">
        <f>IF($C23&gt;LOOKUP($A23,Barèmes!$A$65:$A$148,Barèmes!$V$65:$V$148),($C23-LOOKUP($A23,Barèmes!$A$65:$A$148,Barèmes!$V$65:$V$148)),0)</f>
        <v>0</v>
      </c>
      <c r="H23" s="81">
        <f t="shared" si="0"/>
        <v>34442.528682488461</v>
      </c>
      <c r="I23" s="56">
        <f>H23+LOOKUP($A23,Barèmes!$A$5:$A$148,Barèmes!$CK$5:$CK$148)*C23*(LOOKUP($A23,Barèmes!$CG$65:$CG$148,Barèmes!$CH$65:$CH$148)-LOOKUP($A23,Barèmes!$CG$65:$CG$148,Barèmes!$CI$65:$CI$148))</f>
        <v>35468.492916175586</v>
      </c>
      <c r="K23" s="320">
        <f>LOOKUP($A23,Barèmes!$A$65:$A$148,Barèmes!$K$65:$K$148)-LOOKUP($A23,Barèmes!$A$65:$A$148,Barèmes!$L$65:$L$148)+(LOOKUP($A23,Barèmes!$A$65:$A$148,Barèmes!$AC$65:$AC$148)-LOOKUP($A23,Barèmes!$A$65:$A$148,Barèmes!$AD$65:$AD$148))*LOOKUP($A23,Barèmes!$A$65:$A$148,Barèmes!$AI$65:$AI$148)+LOOKUP($A23,Barèmes!$A$65:$A$148,Barèmes!$AQ$65:$AQ$148)-LOOKUP($A23,Barèmes!$A$65:$A$148,Barèmes!$AR$65:$AR$148)+LOOKUP($A23,Barèmes!$A$65:$A$148,Barèmes!$CL$65:$CL$148)+LOOKUP($A23,Barèmes!$A$65:$A$148,Barèmes!$CM$65:$CM$148)+LOOKUP($A23,Barèmes!$A$5:$A$148,Barèmes!$CK$5:$CK$148)*(LOOKUP($A23,Barèmes!$A$65:$A$148,Barèmes!$CH$65:$CH$148)+LOOKUP($A23,Barèmes!$A$65:$A$148,Barèmes!$CJ$65:$CJ$148))</f>
        <v>0.20839849999999999</v>
      </c>
      <c r="L23" s="320">
        <f>K23+LOOKUP($A23,Barèmes!$A$65:$A$148,Barèmes!$AL$65:$AL$148)-LOOKUP($A23,Barèmes!$A$65:$A$148,Barèmes!$AM$65:$AM$148)+IF($A23&gt;2010,LOOKUP($A23,Barèmes!$CG$5:$CG$148,Barèmes!$CO$5:$CO$148),0)</f>
        <v>0.21003849999999999</v>
      </c>
      <c r="M23" s="320">
        <f>(LOOKUP($A23,Barèmes!$A$65:$A$148,Barèmes!$AF$65:$AF$148)-LOOKUP($A23,Barèmes!$A$65:$A$148,Barèmes!$AG$65:$AG$148))*LOOKUP($A23,Barèmes!$A$65:$A$148,Barèmes!$AI$65:$AI$148)+LOOKUP($A23,Barèmes!$A$65:$A$148,Barèmes!$AL$65:$AL$148)-LOOKUP($A23,Barèmes!$A$65:$A$148,Barèmes!$AM$65:$AM$148)+LOOKUP($A23,Barèmes!$A$65:$A$148,Barèmes!$AV$65:$AV$148)-LOOKUP($A23,Barèmes!$A$65:$A$148,Barèmes!$AW$65:$AW$148)+LOOKUP($A23,Barèmes!$A$65:$A$148,Barèmes!$CN$65:$CN$148)+LOOKUP($A23,Barèmes!$A$65:$A$148,Barèmes!$CO$65:$CO$148)</f>
        <v>9.8799999999999999E-2</v>
      </c>
      <c r="N23" s="320">
        <f>LOOKUP($A23,Barèmes!$A$65:$A$148,Barèmes!$N$65:$N$148)-LOOKUP($A23,Barèmes!$A$65:$A$148,Barèmes!O81:O164)+0.9825*LOOKUP($A23,Barèmes!$A$65:$A$148,Barèmes!$CH$65:$CH$148)+0.9825*LOOKUP($A23,Barèmes!$A$65:$A$148,Barèmes!$CJ$65:$CJ$148)+LOOKUP($A23,Barèmes!$A$65:$A$148,Barèmes!$CL$65:$CL$148)</f>
        <v>9.9302500000000002E-2</v>
      </c>
      <c r="P23" s="321">
        <f>C23/LOOKUP($A23,Barèmes!$A$65:$A$148,Barèmes!$C$65:$C$148)</f>
        <v>35947.738380177572</v>
      </c>
      <c r="Q23" s="321">
        <f>H23/LOOKUP($A23,Barèmes!$A$65:$A$148,Barèmes!$C$65:$C$148)</f>
        <v>28456.283623356136</v>
      </c>
      <c r="R23" s="321">
        <f>I23/LOOKUP($A23,Barèmes!$A$65:$A$148,Barèmes!$C$65:$C$148)</f>
        <v>29303.931294360726</v>
      </c>
      <c r="T23" s="321">
        <f>C23/LOOKUP($A23,Barèmes!$A$65:$A$148,Barèmes!$G$65:$G$148)</f>
        <v>29645.988363809774</v>
      </c>
      <c r="U23" s="321">
        <f>H23/LOOKUP($A23,Barèmes!$A$65:$A$148,Barèmes!$G$65:$G$148)</f>
        <v>23467.808857774366</v>
      </c>
      <c r="V23" s="321">
        <f>I23/LOOKUP($A23,Barèmes!$A$65:$A$148,Barèmes!$G$65:$G$148)</f>
        <v>24166.861263393002</v>
      </c>
      <c r="Y23" s="95">
        <v>1</v>
      </c>
      <c r="Z23" s="280">
        <f>IF($Y23=1,IF(I23&lt;LOOKUP($A23,Barèmes!$AB$65:$AB$148,Barèmes!$BM$65:$BM$148),LOOKUP($A23,Barèmes!$AB$65:$AB$148,Barèmes!$BQ$65:$BQ$148),IF(I23&lt;LOOKUP($A23,Barèmes!$AB$65:$AB$148,Barèmes!$BN$65:$BN$148),LOOKUP($A23,Barèmes!$AB$65:$AB$148,Barèmes!$BR$65:$BR$148),IF(I23&lt;LOOKUP($A23,Barèmes!$AB$65:$AB$148,Barèmes!$BO$65:$BO$148),LOOKUP($A23,Barèmes!$AB$65:$AB$148,Barèmes!$BS$65:$BS$148),LOOKUP($A23,Barèmes!$AB$65:$AB$148,Barèmes!$BT$65:$BT$148)))),IF($Y23=2,IF(I23&lt;LOOKUP($A23,Barèmes!$AB$65:$AB$148,Barèmes!$BW$65:$BW$148),LOOKUP($A23,Barèmes!$AB$65:$AB$148,Barèmes!$CA$65:$CA$148),IF(I23&lt;LOOKUP($A23,Barèmes!$AB$65:$AB$148,Barèmes!$BX$65:$BX$148),LOOKUP($A23,Barèmes!$AB$65:$AB$148,Barèmes!$CB$65:$CB$148),IF(I23&lt;LOOKUP($A23,Barèmes!$AB$65:$AB$148,Barèmes!$BY$65:$BY$148),LOOKUP($A23,Barèmes!$AB$65:$AB$148,Barèmes!$CC$65:$CC164),LOOKUP($A23,Barèmes!$AB$65:$AB$148,Barèmes!$CD$65:$CD$148))))))</f>
        <v>9.0999999999999998E-2</v>
      </c>
    </row>
    <row r="24" spans="1:26" x14ac:dyDescent="0.25">
      <c r="A24" s="15">
        <f>B24+Simulation!$D$4</f>
        <v>2034</v>
      </c>
      <c r="B24" s="19">
        <v>34</v>
      </c>
      <c r="C24" s="77">
        <f>IF(AND($B24&gt;=Simulation!$D$5,$B24&lt;Simulation!$D$6),IF(Simulation!$D$3=1,LOOKUP($B24,Info_cas_type!$B$5:$B$55,Info_cas_type!$C$5:$C$55)*LOOKUP($A24,Barèmes!$A$65:$A$148,Barèmes!$D$65:$D$148),IF(Simulation!$D$3=2,LOOKUP($B24,Info_cas_type!$B$5:$B$55,Info_cas_type!$D$5:$D$55)*LOOKUP($A24,Barèmes!$A$65:$A$148,Barèmes!$D$65:$D$148),IF(Simulation!$D$3="2P",LOOKUP($B24,Info_cas_type!$B$5:$B$55,Info_cas_type!$E$5:$E$55)*LOOKUP($A24,Barèmes!$A$65:$A$148,Barèmes!$D$65:$D$148),IF(Simulation!$D$3="2M",LOOKUP($B24,Info_cas_type!$B$5:$B$55,Info_cas_type!$F$5:$F$55)*LOOKUP($A24,Barèmes!$A$65:$A$148,Barèmes!$D$65:$D$148),IF(Simulation!$D$3="SMIC",LOOKUP($A24,Barèmes!$A$65:$A$148,Barèmes!$F$65:$F$148),LOOKUP($B24,Info_cas_type!$B$5:$B$55,Info_cas_type!$G$5:$G$55)*LOOKUP($A24,Barèmes!$A$65:$A$148,Barèmes!$D$65:$D$148)))))),0)*LOOKUP($B24,Info_cas_type!$B$5:$B$55,Info_cas_type!$H$5:$H$55)</f>
        <v>46425.478672790596</v>
      </c>
      <c r="D24" s="56">
        <f>MIN($C24,LOOKUP($A24,Barèmes!$A$65:$A$148,Barèmes!$V$65:$V$148))</f>
        <v>46425.478672790596</v>
      </c>
      <c r="E24" s="56">
        <f>MIN(F24,7*LOOKUP($A24,Barèmes!$A$65:$A$148,Barèmes!$V$65:$V$148))</f>
        <v>0</v>
      </c>
      <c r="F24" s="56">
        <f>IF($C24&gt;LOOKUP($A24,Barèmes!$A$65:$A$148,Barèmes!$V$65:$V$148),($C24-LOOKUP($A24,Barèmes!$A$65:$A$148,Barèmes!$V$65:$V$148)),0)</f>
        <v>0</v>
      </c>
      <c r="H24" s="81">
        <f t="shared" si="0"/>
        <v>36750.478555599046</v>
      </c>
      <c r="I24" s="56">
        <f>H24+LOOKUP($A24,Barèmes!$A$5:$A$148,Barèmes!$CK$5:$CK$148)*C24*(LOOKUP($A24,Barèmes!$CG$65:$CG$148,Barèmes!$CH$65:$CH$148)-LOOKUP($A24,Barèmes!$CG$65:$CG$148,Barèmes!$CI$65:$CI$148))</f>
        <v>37845.191342703445</v>
      </c>
      <c r="K24" s="320">
        <f>LOOKUP($A24,Barèmes!$A$65:$A$148,Barèmes!$K$65:$K$148)-LOOKUP($A24,Barèmes!$A$65:$A$148,Barèmes!$L$65:$L$148)+(LOOKUP($A24,Barèmes!$A$65:$A$148,Barèmes!$AC$65:$AC$148)-LOOKUP($A24,Barèmes!$A$65:$A$148,Barèmes!$AD$65:$AD$148))*LOOKUP($A24,Barèmes!$A$65:$A$148,Barèmes!$AI$65:$AI$148)+LOOKUP($A24,Barèmes!$A$65:$A$148,Barèmes!$AQ$65:$AQ$148)-LOOKUP($A24,Barèmes!$A$65:$A$148,Barèmes!$AR$65:$AR$148)+LOOKUP($A24,Barèmes!$A$65:$A$148,Barèmes!$CL$65:$CL$148)+LOOKUP($A24,Barèmes!$A$65:$A$148,Barèmes!$CM$65:$CM$148)+LOOKUP($A24,Barèmes!$A$5:$A$148,Barèmes!$CK$5:$CK$148)*(LOOKUP($A24,Barèmes!$A$65:$A$148,Barèmes!$CH$65:$CH$148)+LOOKUP($A24,Barèmes!$A$65:$A$148,Barèmes!$CJ$65:$CJ$148))</f>
        <v>0.20839849999999999</v>
      </c>
      <c r="L24" s="320">
        <f>K24+LOOKUP($A24,Barèmes!$A$65:$A$148,Barèmes!$AL$65:$AL$148)-LOOKUP($A24,Barèmes!$A$65:$A$148,Barèmes!$AM$65:$AM$148)+IF($A24&gt;2010,LOOKUP($A24,Barèmes!$CG$5:$CG$148,Barèmes!$CO$5:$CO$148),0)</f>
        <v>0.21003849999999999</v>
      </c>
      <c r="M24" s="320">
        <f>(LOOKUP($A24,Barèmes!$A$65:$A$148,Barèmes!$AF$65:$AF$148)-LOOKUP($A24,Barèmes!$A$65:$A$148,Barèmes!$AG$65:$AG$148))*LOOKUP($A24,Barèmes!$A$65:$A$148,Barèmes!$AI$65:$AI$148)+LOOKUP($A24,Barèmes!$A$65:$A$148,Barèmes!$AL$65:$AL$148)-LOOKUP($A24,Barèmes!$A$65:$A$148,Barèmes!$AM$65:$AM$148)+LOOKUP($A24,Barèmes!$A$65:$A$148,Barèmes!$AV$65:$AV$148)-LOOKUP($A24,Barèmes!$A$65:$A$148,Barèmes!$AW$65:$AW$148)+LOOKUP($A24,Barèmes!$A$65:$A$148,Barèmes!$CN$65:$CN$148)+LOOKUP($A24,Barèmes!$A$65:$A$148,Barèmes!$CO$65:$CO$148)</f>
        <v>9.8799999999999999E-2</v>
      </c>
      <c r="N24" s="320">
        <f>LOOKUP($A24,Barèmes!$A$65:$A$148,Barèmes!$N$65:$N$148)-LOOKUP($A24,Barèmes!$A$65:$A$148,Barèmes!O82:O165)+0.9825*LOOKUP($A24,Barèmes!$A$65:$A$148,Barèmes!$CH$65:$CH$148)+0.9825*LOOKUP($A24,Barèmes!$A$65:$A$148,Barèmes!$CJ$65:$CJ$148)+LOOKUP($A24,Barèmes!$A$65:$A$148,Barèmes!$CL$65:$CL$148)</f>
        <v>9.9302500000000002E-2</v>
      </c>
      <c r="P24" s="321">
        <f>C24/LOOKUP($A24,Barèmes!$A$65:$A$148,Barèmes!$C$65:$C$148)</f>
        <v>37696.855462781175</v>
      </c>
      <c r="Q24" s="321">
        <f>H24/LOOKUP($A24,Barèmes!$A$65:$A$148,Barèmes!$C$65:$C$148)</f>
        <v>29840.887329620775</v>
      </c>
      <c r="R24" s="321">
        <f>I24/LOOKUP($A24,Barèmes!$A$65:$A$148,Barèmes!$C$65:$C$148)</f>
        <v>30729.779181433154</v>
      </c>
      <c r="T24" s="321">
        <f>C24/LOOKUP($A24,Barèmes!$A$65:$A$148,Barèmes!$G$65:$G$148)</f>
        <v>30689.516088457538</v>
      </c>
      <c r="U24" s="321">
        <f>H24/LOOKUP($A24,Barèmes!$A$65:$A$148,Barèmes!$G$65:$G$148)</f>
        <v>24293.866969897121</v>
      </c>
      <c r="V24" s="321">
        <f>I24/LOOKUP($A24,Barèmes!$A$65:$A$148,Barèmes!$G$65:$G$148)</f>
        <v>25017.525759262946</v>
      </c>
      <c r="Y24" s="95">
        <v>1</v>
      </c>
      <c r="Z24" s="280">
        <f>IF($Y24=1,IF(I24&lt;LOOKUP($A24,Barèmes!$AB$65:$AB$148,Barèmes!$BM$65:$BM$148),LOOKUP($A24,Barèmes!$AB$65:$AB$148,Barèmes!$BQ$65:$BQ$148),IF(I24&lt;LOOKUP($A24,Barèmes!$AB$65:$AB$148,Barèmes!$BN$65:$BN$148),LOOKUP($A24,Barèmes!$AB$65:$AB$148,Barèmes!$BR$65:$BR$148),IF(I24&lt;LOOKUP($A24,Barèmes!$AB$65:$AB$148,Barèmes!$BO$65:$BO$148),LOOKUP($A24,Barèmes!$AB$65:$AB$148,Barèmes!$BS$65:$BS$148),LOOKUP($A24,Barèmes!$AB$65:$AB$148,Barèmes!$BT$65:$BT$148)))),IF($Y24=2,IF(I24&lt;LOOKUP($A24,Barèmes!$AB$65:$AB$148,Barèmes!$BW$65:$BW$148),LOOKUP($A24,Barèmes!$AB$65:$AB$148,Barèmes!$CA$65:$CA$148),IF(I24&lt;LOOKUP($A24,Barèmes!$AB$65:$AB$148,Barèmes!$BX$65:$BX$148),LOOKUP($A24,Barèmes!$AB$65:$AB$148,Barèmes!$CB$65:$CB$148),IF(I24&lt;LOOKUP($A24,Barèmes!$AB$65:$AB$148,Barèmes!$BY$65:$BY$148),LOOKUP($A24,Barèmes!$AB$65:$AB$148,Barèmes!$CC$65:$CC165),LOOKUP($A24,Barèmes!$AB$65:$AB$148,Barèmes!$CD$65:$CD$148))))))</f>
        <v>9.0999999999999998E-2</v>
      </c>
    </row>
    <row r="25" spans="1:26" x14ac:dyDescent="0.25">
      <c r="A25" s="15">
        <f>B25+Simulation!$D$4</f>
        <v>2035</v>
      </c>
      <c r="B25" s="19">
        <v>35</v>
      </c>
      <c r="C25" s="77">
        <f>IF(AND($B25&gt;=Simulation!$D$5,$B25&lt;Simulation!$D$6),IF(Simulation!$D$3=1,LOOKUP($B25,Info_cas_type!$B$5:$B$55,Info_cas_type!$C$5:$C$55)*LOOKUP($A25,Barèmes!$A$65:$A$148,Barèmes!$D$65:$D$148),IF(Simulation!$D$3=2,LOOKUP($B25,Info_cas_type!$B$5:$B$55,Info_cas_type!$D$5:$D$55)*LOOKUP($A25,Barèmes!$A$65:$A$148,Barèmes!$D$65:$D$148),IF(Simulation!$D$3="2P",LOOKUP($B25,Info_cas_type!$B$5:$B$55,Info_cas_type!$E$5:$E$55)*LOOKUP($A25,Barèmes!$A$65:$A$148,Barèmes!$D$65:$D$148),IF(Simulation!$D$3="2M",LOOKUP($B25,Info_cas_type!$B$5:$B$55,Info_cas_type!$F$5:$F$55)*LOOKUP($A25,Barèmes!$A$65:$A$148,Barèmes!$D$65:$D$148),IF(Simulation!$D$3="SMIC",LOOKUP($A25,Barèmes!$A$65:$A$148,Barèmes!$F$65:$F$148),LOOKUP($B25,Info_cas_type!$B$5:$B$55,Info_cas_type!$G$5:$G$55)*LOOKUP($A25,Barèmes!$A$65:$A$148,Barèmes!$D$65:$D$148)))))),0)*LOOKUP($B25,Info_cas_type!$B$5:$B$55,Info_cas_type!$H$5:$H$55)</f>
        <v>49052.418669110222</v>
      </c>
      <c r="D25" s="56">
        <f>MIN($C25,LOOKUP($A25,Barèmes!$A$65:$A$148,Barèmes!$V$65:$V$148))</f>
        <v>49052.418669110222</v>
      </c>
      <c r="E25" s="56">
        <f>MIN(F25,7*LOOKUP($A25,Barèmes!$A$65:$A$148,Barèmes!$V$65:$V$148))</f>
        <v>0</v>
      </c>
      <c r="F25" s="56">
        <f>IF($C25&gt;LOOKUP($A25,Barèmes!$A$65:$A$148,Barèmes!$V$65:$V$148),($C25-LOOKUP($A25,Barèmes!$A$65:$A$148,Barèmes!$V$65:$V$148)),0)</f>
        <v>0</v>
      </c>
      <c r="H25" s="81">
        <f t="shared" si="0"/>
        <v>38829.968197095659</v>
      </c>
      <c r="I25" s="56">
        <f>H25+LOOKUP($A25,Barèmes!$A$5:$A$148,Barèmes!$CK$5:$CK$148)*C25*(LOOKUP($A25,Barèmes!$CG$65:$CG$148,Barèmes!$CH$65:$CH$148)-LOOKUP($A25,Barèmes!$CG$65:$CG$148,Barèmes!$CI$65:$CI$148))</f>
        <v>39986.624229313275</v>
      </c>
      <c r="K25" s="320">
        <f>LOOKUP($A25,Barèmes!$A$65:$A$148,Barèmes!$K$65:$K$148)-LOOKUP($A25,Barèmes!$A$65:$A$148,Barèmes!$L$65:$L$148)+(LOOKUP($A25,Barèmes!$A$65:$A$148,Barèmes!$AC$65:$AC$148)-LOOKUP($A25,Barèmes!$A$65:$A$148,Barèmes!$AD$65:$AD$148))*LOOKUP($A25,Barèmes!$A$65:$A$148,Barèmes!$AI$65:$AI$148)+LOOKUP($A25,Barèmes!$A$65:$A$148,Barèmes!$AQ$65:$AQ$148)-LOOKUP($A25,Barèmes!$A$65:$A$148,Barèmes!$AR$65:$AR$148)+LOOKUP($A25,Barèmes!$A$65:$A$148,Barèmes!$CL$65:$CL$148)+LOOKUP($A25,Barèmes!$A$65:$A$148,Barèmes!$CM$65:$CM$148)+LOOKUP($A25,Barèmes!$A$5:$A$148,Barèmes!$CK$5:$CK$148)*(LOOKUP($A25,Barèmes!$A$65:$A$148,Barèmes!$CH$65:$CH$148)+LOOKUP($A25,Barèmes!$A$65:$A$148,Barèmes!$CJ$65:$CJ$148))</f>
        <v>0.20839849999999999</v>
      </c>
      <c r="L25" s="320">
        <f>K25+LOOKUP($A25,Barèmes!$A$65:$A$148,Barèmes!$AL$65:$AL$148)-LOOKUP($A25,Barèmes!$A$65:$A$148,Barèmes!$AM$65:$AM$148)+IF($A25&gt;2010,LOOKUP($A25,Barèmes!$CG$5:$CG$148,Barèmes!$CO$5:$CO$148),0)</f>
        <v>0.21003849999999999</v>
      </c>
      <c r="M25" s="320">
        <f>(LOOKUP($A25,Barèmes!$A$65:$A$148,Barèmes!$AF$65:$AF$148)-LOOKUP($A25,Barèmes!$A$65:$A$148,Barèmes!$AG$65:$AG$148))*LOOKUP($A25,Barèmes!$A$65:$A$148,Barèmes!$AI$65:$AI$148)+LOOKUP($A25,Barèmes!$A$65:$A$148,Barèmes!$AL$65:$AL$148)-LOOKUP($A25,Barèmes!$A$65:$A$148,Barèmes!$AM$65:$AM$148)+LOOKUP($A25,Barèmes!$A$65:$A$148,Barèmes!$AV$65:$AV$148)-LOOKUP($A25,Barèmes!$A$65:$A$148,Barèmes!$AW$65:$AW$148)+LOOKUP($A25,Barèmes!$A$65:$A$148,Barèmes!$CN$65:$CN$148)+LOOKUP($A25,Barèmes!$A$65:$A$148,Barèmes!$CO$65:$CO$148)</f>
        <v>9.8799999999999999E-2</v>
      </c>
      <c r="N25" s="320">
        <f>LOOKUP($A25,Barèmes!$A$65:$A$148,Barèmes!$N$65:$N$148)-LOOKUP($A25,Barèmes!$A$65:$A$148,Barèmes!O83:O166)+0.9825*LOOKUP($A25,Barèmes!$A$65:$A$148,Barèmes!$CH$65:$CH$148)+0.9825*LOOKUP($A25,Barèmes!$A$65:$A$148,Barèmes!$CJ$65:$CJ$148)+LOOKUP($A25,Barèmes!$A$65:$A$148,Barèmes!$CL$65:$CL$148)</f>
        <v>9.9302500000000002E-2</v>
      </c>
      <c r="P25" s="321">
        <f>C25/LOOKUP($A25,Barèmes!$A$65:$A$148,Barèmes!$C$65:$C$148)</f>
        <v>39144.859862102625</v>
      </c>
      <c r="Q25" s="321">
        <f>H25/LOOKUP($A25,Barèmes!$A$65:$A$148,Barèmes!$C$65:$C$148)</f>
        <v>30987.129784130233</v>
      </c>
      <c r="R25" s="321">
        <f>I25/LOOKUP($A25,Barèmes!$A$65:$A$148,Barèmes!$C$65:$C$148)</f>
        <v>31910.165579678607</v>
      </c>
      <c r="T25" s="321">
        <f>C25/LOOKUP($A25,Barèmes!$A$65:$A$148,Barèmes!$G$65:$G$148)</f>
        <v>31459.383917551178</v>
      </c>
      <c r="U25" s="321">
        <f>H25/LOOKUP($A25,Barèmes!$A$65:$A$148,Barèmes!$G$65:$G$148)</f>
        <v>24903.295498209391</v>
      </c>
      <c r="V25" s="321">
        <f>I25/LOOKUP($A25,Barèmes!$A$65:$A$148,Barèmes!$G$65:$G$148)</f>
        <v>25645.107770985247</v>
      </c>
      <c r="Y25" s="95">
        <v>1</v>
      </c>
      <c r="Z25" s="280">
        <f>IF($Y25=1,IF(I25&lt;LOOKUP($A25,Barèmes!$AB$65:$AB$148,Barèmes!$BM$65:$BM$148),LOOKUP($A25,Barèmes!$AB$65:$AB$148,Barèmes!$BQ$65:$BQ$148),IF(I25&lt;LOOKUP($A25,Barèmes!$AB$65:$AB$148,Barèmes!$BN$65:$BN$148),LOOKUP($A25,Barèmes!$AB$65:$AB$148,Barèmes!$BR$65:$BR$148),IF(I25&lt;LOOKUP($A25,Barèmes!$AB$65:$AB$148,Barèmes!$BO$65:$BO$148),LOOKUP($A25,Barèmes!$AB$65:$AB$148,Barèmes!$BS$65:$BS$148),LOOKUP($A25,Barèmes!$AB$65:$AB$148,Barèmes!$BT$65:$BT$148)))),IF($Y25=2,IF(I25&lt;LOOKUP($A25,Barèmes!$AB$65:$AB$148,Barèmes!$BW$65:$BW$148),LOOKUP($A25,Barèmes!$AB$65:$AB$148,Barèmes!$CA$65:$CA$148),IF(I25&lt;LOOKUP($A25,Barèmes!$AB$65:$AB$148,Barèmes!$BX$65:$BX$148),LOOKUP($A25,Barèmes!$AB$65:$AB$148,Barèmes!$CB$65:$CB$148),IF(I25&lt;LOOKUP($A25,Barèmes!$AB$65:$AB$148,Barèmes!$BY$65:$BY$148),LOOKUP($A25,Barèmes!$AB$65:$AB$148,Barèmes!$CC$65:$CC166),LOOKUP($A25,Barèmes!$AB$65:$AB$148,Barèmes!$CD$65:$CD$148))))))</f>
        <v>9.0999999999999998E-2</v>
      </c>
    </row>
    <row r="26" spans="1:26" x14ac:dyDescent="0.25">
      <c r="A26" s="15">
        <f>B26+Simulation!$D$4</f>
        <v>2036</v>
      </c>
      <c r="B26" s="19">
        <v>36</v>
      </c>
      <c r="C26" s="77">
        <f>IF(AND($B26&gt;=Simulation!$D$5,$B26&lt;Simulation!$D$6),IF(Simulation!$D$3=1,LOOKUP($B26,Info_cas_type!$B$5:$B$55,Info_cas_type!$C$5:$C$55)*LOOKUP($A26,Barèmes!$A$65:$A$148,Barèmes!$D$65:$D$148),IF(Simulation!$D$3=2,LOOKUP($B26,Info_cas_type!$B$5:$B$55,Info_cas_type!$D$5:$D$55)*LOOKUP($A26,Barèmes!$A$65:$A$148,Barèmes!$D$65:$D$148),IF(Simulation!$D$3="2P",LOOKUP($B26,Info_cas_type!$B$5:$B$55,Info_cas_type!$E$5:$E$55)*LOOKUP($A26,Barèmes!$A$65:$A$148,Barèmes!$D$65:$D$148),IF(Simulation!$D$3="2M",LOOKUP($B26,Info_cas_type!$B$5:$B$55,Info_cas_type!$F$5:$F$55)*LOOKUP($A26,Barèmes!$A$65:$A$148,Barèmes!$D$65:$D$148),IF(Simulation!$D$3="SMIC",LOOKUP($A26,Barèmes!$A$65:$A$148,Barèmes!$F$65:$F$148),LOOKUP($B26,Info_cas_type!$B$5:$B$55,Info_cas_type!$G$5:$G$55)*LOOKUP($A26,Barèmes!$A$65:$A$148,Barèmes!$D$65:$D$148)))))),0)*LOOKUP($B26,Info_cas_type!$B$5:$B$55,Info_cas_type!$H$5:$H$55)</f>
        <v>50869.875659975143</v>
      </c>
      <c r="D26" s="56">
        <f>MIN($C26,LOOKUP($A26,Barèmes!$A$65:$A$148,Barèmes!$V$65:$V$148))</f>
        <v>50869.875659975143</v>
      </c>
      <c r="E26" s="56">
        <f>MIN(F26,7*LOOKUP($A26,Barèmes!$A$65:$A$148,Barèmes!$V$65:$V$148))</f>
        <v>0</v>
      </c>
      <c r="F26" s="56">
        <f>IF($C26&gt;LOOKUP($A26,Barèmes!$A$65:$A$148,Barèmes!$V$65:$V$148),($C26-LOOKUP($A26,Barèmes!$A$65:$A$148,Barèmes!$V$65:$V$148)),0)</f>
        <v>0</v>
      </c>
      <c r="H26" s="81">
        <f t="shared" si="0"/>
        <v>40268.66987724982</v>
      </c>
      <c r="I26" s="56">
        <f>H26+LOOKUP($A26,Barèmes!$A$5:$A$148,Barèmes!$CK$5:$CK$148)*C26*(LOOKUP($A26,Barèmes!$CG$65:$CG$148,Barèmes!$CH$65:$CH$148)-LOOKUP($A26,Barèmes!$CG$65:$CG$148,Barèmes!$CI$65:$CI$148))</f>
        <v>41468.181545312036</v>
      </c>
      <c r="K26" s="320">
        <f>LOOKUP($A26,Barèmes!$A$65:$A$148,Barèmes!$K$65:$K$148)-LOOKUP($A26,Barèmes!$A$65:$A$148,Barèmes!$L$65:$L$148)+(LOOKUP($A26,Barèmes!$A$65:$A$148,Barèmes!$AC$65:$AC$148)-LOOKUP($A26,Barèmes!$A$65:$A$148,Barèmes!$AD$65:$AD$148))*LOOKUP($A26,Barèmes!$A$65:$A$148,Barèmes!$AI$65:$AI$148)+LOOKUP($A26,Barèmes!$A$65:$A$148,Barèmes!$AQ$65:$AQ$148)-LOOKUP($A26,Barèmes!$A$65:$A$148,Barèmes!$AR$65:$AR$148)+LOOKUP($A26,Barèmes!$A$65:$A$148,Barèmes!$CL$65:$CL$148)+LOOKUP($A26,Barèmes!$A$65:$A$148,Barèmes!$CM$65:$CM$148)+LOOKUP($A26,Barèmes!$A$5:$A$148,Barèmes!$CK$5:$CK$148)*(LOOKUP($A26,Barèmes!$A$65:$A$148,Barèmes!$CH$65:$CH$148)+LOOKUP($A26,Barèmes!$A$65:$A$148,Barèmes!$CJ$65:$CJ$148))</f>
        <v>0.20839849999999999</v>
      </c>
      <c r="L26" s="320">
        <f>K26+LOOKUP($A26,Barèmes!$A$65:$A$148,Barèmes!$AL$65:$AL$148)-LOOKUP($A26,Barèmes!$A$65:$A$148,Barèmes!$AM$65:$AM$148)+IF($A26&gt;2010,LOOKUP($A26,Barèmes!$CG$5:$CG$148,Barèmes!$CO$5:$CO$148),0)</f>
        <v>0.21003849999999999</v>
      </c>
      <c r="M26" s="320">
        <f>(LOOKUP($A26,Barèmes!$A$65:$A$148,Barèmes!$AF$65:$AF$148)-LOOKUP($A26,Barèmes!$A$65:$A$148,Barèmes!$AG$65:$AG$148))*LOOKUP($A26,Barèmes!$A$65:$A$148,Barèmes!$AI$65:$AI$148)+LOOKUP($A26,Barèmes!$A$65:$A$148,Barèmes!$AL$65:$AL$148)-LOOKUP($A26,Barèmes!$A$65:$A$148,Barèmes!$AM$65:$AM$148)+LOOKUP($A26,Barèmes!$A$65:$A$148,Barèmes!$AV$65:$AV$148)-LOOKUP($A26,Barèmes!$A$65:$A$148,Barèmes!$AW$65:$AW$148)+LOOKUP($A26,Barèmes!$A$65:$A$148,Barèmes!$CN$65:$CN$148)+LOOKUP($A26,Barèmes!$A$65:$A$148,Barèmes!$CO$65:$CO$148)</f>
        <v>9.8799999999999999E-2</v>
      </c>
      <c r="N26" s="320">
        <f>LOOKUP($A26,Barèmes!$A$65:$A$148,Barèmes!$N$65:$N$148)-LOOKUP($A26,Barèmes!$A$65:$A$148,Barèmes!O84:O167)+0.9825*LOOKUP($A26,Barèmes!$A$65:$A$148,Barèmes!$CH$65:$CH$148)+0.9825*LOOKUP($A26,Barèmes!$A$65:$A$148,Barèmes!$CJ$65:$CJ$148)+LOOKUP($A26,Barèmes!$A$65:$A$148,Barèmes!$CL$65:$CL$148)</f>
        <v>9.9302500000000002E-2</v>
      </c>
      <c r="P26" s="321">
        <f>C26/LOOKUP($A26,Barèmes!$A$65:$A$148,Barèmes!$C$65:$C$148)</f>
        <v>39897.030658414449</v>
      </c>
      <c r="Q26" s="321">
        <f>H26/LOOKUP($A26,Barèmes!$A$65:$A$148,Barèmes!$C$65:$C$148)</f>
        <v>31582.54931474687</v>
      </c>
      <c r="R26" s="321">
        <f>I26/LOOKUP($A26,Barèmes!$A$65:$A$148,Barèmes!$C$65:$C$148)</f>
        <v>32523.321297672283</v>
      </c>
      <c r="T26" s="321">
        <f>C26/LOOKUP($A26,Barèmes!$A$65:$A$148,Barèmes!$G$65:$G$148)</f>
        <v>31652.39668238792</v>
      </c>
      <c r="U26" s="321">
        <f>H26/LOOKUP($A26,Barèmes!$A$65:$A$148,Barèmes!$G$65:$G$148)</f>
        <v>25056.084692373304</v>
      </c>
      <c r="V26" s="321">
        <f>I26/LOOKUP($A26,Barèmes!$A$65:$A$148,Barèmes!$G$65:$G$148)</f>
        <v>25802.448206144014</v>
      </c>
      <c r="Y26" s="95">
        <v>1</v>
      </c>
      <c r="Z26" s="280">
        <f>IF($Y26=1,IF(I26&lt;LOOKUP($A26,Barèmes!$AB$65:$AB$148,Barèmes!$BM$65:$BM$148),LOOKUP($A26,Barèmes!$AB$65:$AB$148,Barèmes!$BQ$65:$BQ$148),IF(I26&lt;LOOKUP($A26,Barèmes!$AB$65:$AB$148,Barèmes!$BN$65:$BN$148),LOOKUP($A26,Barèmes!$AB$65:$AB$148,Barèmes!$BR$65:$BR$148),IF(I26&lt;LOOKUP($A26,Barèmes!$AB$65:$AB$148,Barèmes!$BO$65:$BO$148),LOOKUP($A26,Barèmes!$AB$65:$AB$148,Barèmes!$BS$65:$BS$148),LOOKUP($A26,Barèmes!$AB$65:$AB$148,Barèmes!$BT$65:$BT$148)))),IF($Y26=2,IF(I26&lt;LOOKUP($A26,Barèmes!$AB$65:$AB$148,Barèmes!$BW$65:$BW$148),LOOKUP($A26,Barèmes!$AB$65:$AB$148,Barèmes!$CA$65:$CA$148),IF(I26&lt;LOOKUP($A26,Barèmes!$AB$65:$AB$148,Barèmes!$BX$65:$BX$148),LOOKUP($A26,Barèmes!$AB$65:$AB$148,Barèmes!$CB$65:$CB$148),IF(I26&lt;LOOKUP($A26,Barèmes!$AB$65:$AB$148,Barèmes!$BY$65:$BY$148),LOOKUP($A26,Barèmes!$AB$65:$AB$148,Barèmes!$CC$65:$CC167),LOOKUP($A26,Barèmes!$AB$65:$AB$148,Barèmes!$CD$65:$CD$148))))))</f>
        <v>9.0999999999999998E-2</v>
      </c>
    </row>
    <row r="27" spans="1:26" x14ac:dyDescent="0.25">
      <c r="A27" s="15">
        <f>B27+Simulation!$D$4</f>
        <v>2037</v>
      </c>
      <c r="B27" s="19">
        <v>37</v>
      </c>
      <c r="C27" s="77">
        <f>IF(AND($B27&gt;=Simulation!$D$5,$B27&lt;Simulation!$D$6),IF(Simulation!$D$3=1,LOOKUP($B27,Info_cas_type!$B$5:$B$55,Info_cas_type!$C$5:$C$55)*LOOKUP($A27,Barèmes!$A$65:$A$148,Barèmes!$D$65:$D$148),IF(Simulation!$D$3=2,LOOKUP($B27,Info_cas_type!$B$5:$B$55,Info_cas_type!$D$5:$D$55)*LOOKUP($A27,Barèmes!$A$65:$A$148,Barèmes!$D$65:$D$148),IF(Simulation!$D$3="2P",LOOKUP($B27,Info_cas_type!$B$5:$B$55,Info_cas_type!$E$5:$E$55)*LOOKUP($A27,Barèmes!$A$65:$A$148,Barèmes!$D$65:$D$148),IF(Simulation!$D$3="2M",LOOKUP($B27,Info_cas_type!$B$5:$B$55,Info_cas_type!$F$5:$F$55)*LOOKUP($A27,Barèmes!$A$65:$A$148,Barèmes!$D$65:$D$148),IF(Simulation!$D$3="SMIC",LOOKUP($A27,Barèmes!$A$65:$A$148,Barèmes!$F$65:$F$148),LOOKUP($B27,Info_cas_type!$B$5:$B$55,Info_cas_type!$G$5:$G$55)*LOOKUP($A27,Barèmes!$A$65:$A$148,Barèmes!$D$65:$D$148)))))),0)*LOOKUP($B27,Info_cas_type!$B$5:$B$55,Info_cas_type!$H$5:$H$55)</f>
        <v>54128.305134013986</v>
      </c>
      <c r="D27" s="56">
        <f>MIN($C27,LOOKUP($A27,Barèmes!$A$65:$A$148,Barèmes!$V$65:$V$148))</f>
        <v>54128.305134013986</v>
      </c>
      <c r="E27" s="56">
        <f>MIN(F27,7*LOOKUP($A27,Barèmes!$A$65:$A$148,Barèmes!$V$65:$V$148))</f>
        <v>0</v>
      </c>
      <c r="F27" s="56">
        <f>IF($C27&gt;LOOKUP($A27,Barèmes!$A$65:$A$148,Barèmes!$V$65:$V$148),($C27-LOOKUP($A27,Barèmes!$A$65:$A$148,Barèmes!$V$65:$V$148)),0)</f>
        <v>0</v>
      </c>
      <c r="H27" s="81">
        <f t="shared" si="0"/>
        <v>42848.047536543178</v>
      </c>
      <c r="I27" s="56">
        <f>H27+LOOKUP($A27,Barèmes!$A$5:$A$148,Barèmes!$CK$5:$CK$148)*C27*(LOOKUP($A27,Barèmes!$CG$65:$CG$148,Barèmes!$CH$65:$CH$148)-LOOKUP($A27,Barèmes!$CG$65:$CG$148,Barèmes!$CI$65:$CI$148))</f>
        <v>44124.392971603229</v>
      </c>
      <c r="K27" s="320">
        <f>LOOKUP($A27,Barèmes!$A$65:$A$148,Barèmes!$K$65:$K$148)-LOOKUP($A27,Barèmes!$A$65:$A$148,Barèmes!$L$65:$L$148)+(LOOKUP($A27,Barèmes!$A$65:$A$148,Barèmes!$AC$65:$AC$148)-LOOKUP($A27,Barèmes!$A$65:$A$148,Barèmes!$AD$65:$AD$148))*LOOKUP($A27,Barèmes!$A$65:$A$148,Barèmes!$AI$65:$AI$148)+LOOKUP($A27,Barèmes!$A$65:$A$148,Barèmes!$AQ$65:$AQ$148)-LOOKUP($A27,Barèmes!$A$65:$A$148,Barèmes!$AR$65:$AR$148)+LOOKUP($A27,Barèmes!$A$65:$A$148,Barèmes!$CL$65:$CL$148)+LOOKUP($A27,Barèmes!$A$65:$A$148,Barèmes!$CM$65:$CM$148)+LOOKUP($A27,Barèmes!$A$5:$A$148,Barèmes!$CK$5:$CK$148)*(LOOKUP($A27,Barèmes!$A$65:$A$148,Barèmes!$CH$65:$CH$148)+LOOKUP($A27,Barèmes!$A$65:$A$148,Barèmes!$CJ$65:$CJ$148))</f>
        <v>0.20839849999999999</v>
      </c>
      <c r="L27" s="320">
        <f>K27+LOOKUP($A27,Barèmes!$A$65:$A$148,Barèmes!$AL$65:$AL$148)-LOOKUP($A27,Barèmes!$A$65:$A$148,Barèmes!$AM$65:$AM$148)+IF($A27&gt;2010,LOOKUP($A27,Barèmes!$CG$5:$CG$148,Barèmes!$CO$5:$CO$148),0)</f>
        <v>0.21003849999999999</v>
      </c>
      <c r="M27" s="320">
        <f>(LOOKUP($A27,Barèmes!$A$65:$A$148,Barèmes!$AF$65:$AF$148)-LOOKUP($A27,Barèmes!$A$65:$A$148,Barèmes!$AG$65:$AG$148))*LOOKUP($A27,Barèmes!$A$65:$A$148,Barèmes!$AI$65:$AI$148)+LOOKUP($A27,Barèmes!$A$65:$A$148,Barèmes!$AL$65:$AL$148)-LOOKUP($A27,Barèmes!$A$65:$A$148,Barèmes!$AM$65:$AM$148)+LOOKUP($A27,Barèmes!$A$65:$A$148,Barèmes!$AV$65:$AV$148)-LOOKUP($A27,Barèmes!$A$65:$A$148,Barèmes!$AW$65:$AW$148)+LOOKUP($A27,Barèmes!$A$65:$A$148,Barèmes!$CN$65:$CN$148)+LOOKUP($A27,Barèmes!$A$65:$A$148,Barèmes!$CO$65:$CO$148)</f>
        <v>9.8799999999999999E-2</v>
      </c>
      <c r="N27" s="320">
        <f>LOOKUP($A27,Barèmes!$A$65:$A$148,Barèmes!$N$65:$N$148)-LOOKUP($A27,Barèmes!$A$65:$A$148,Barèmes!O85:O168)+0.9825*LOOKUP($A27,Barèmes!$A$65:$A$148,Barèmes!$CH$65:$CH$148)+0.9825*LOOKUP($A27,Barèmes!$A$65:$A$148,Barèmes!$CJ$65:$CJ$148)+LOOKUP($A27,Barèmes!$A$65:$A$148,Barèmes!$CL$65:$CL$148)</f>
        <v>9.9302500000000002E-2</v>
      </c>
      <c r="P27" s="321">
        <f>C27/LOOKUP($A27,Barèmes!$A$65:$A$148,Barèmes!$C$65:$C$148)</f>
        <v>41722.460209118348</v>
      </c>
      <c r="Q27" s="321">
        <f>H27/LOOKUP($A27,Barèmes!$A$65:$A$148,Barèmes!$C$65:$C$148)</f>
        <v>33027.562085228405</v>
      </c>
      <c r="R27" s="321">
        <f>I27/LOOKUP($A27,Barèmes!$A$65:$A$148,Barèmes!$C$65:$C$148)</f>
        <v>34011.377696959418</v>
      </c>
      <c r="T27" s="321">
        <f>C27/LOOKUP($A27,Barèmes!$A$65:$A$148,Barèmes!$G$65:$G$148)</f>
        <v>32675.819561434033</v>
      </c>
      <c r="U27" s="321">
        <f>H27/LOOKUP($A27,Barèmes!$A$65:$A$148,Barèmes!$G$65:$G$148)</f>
        <v>25866.227778560526</v>
      </c>
      <c r="V27" s="321">
        <f>I27/LOOKUP($A27,Barèmes!$A$65:$A$148,Barèmes!$G$65:$G$148)</f>
        <v>26636.723603819144</v>
      </c>
      <c r="Y27" s="95">
        <v>1</v>
      </c>
      <c r="Z27" s="280">
        <f>IF($Y27=1,IF(I27&lt;LOOKUP($A27,Barèmes!$AB$65:$AB$148,Barèmes!$BM$65:$BM$148),LOOKUP($A27,Barèmes!$AB$65:$AB$148,Barèmes!$BQ$65:$BQ$148),IF(I27&lt;LOOKUP($A27,Barèmes!$AB$65:$AB$148,Barèmes!$BN$65:$BN$148),LOOKUP($A27,Barèmes!$AB$65:$AB$148,Barèmes!$BR$65:$BR$148),IF(I27&lt;LOOKUP($A27,Barèmes!$AB$65:$AB$148,Barèmes!$BO$65:$BO$148),LOOKUP($A27,Barèmes!$AB$65:$AB$148,Barèmes!$BS$65:$BS$148),LOOKUP($A27,Barèmes!$AB$65:$AB$148,Barèmes!$BT$65:$BT$148)))),IF($Y27=2,IF(I27&lt;LOOKUP($A27,Barèmes!$AB$65:$AB$148,Barèmes!$BW$65:$BW$148),LOOKUP($A27,Barèmes!$AB$65:$AB$148,Barèmes!$CA$65:$CA$148),IF(I27&lt;LOOKUP($A27,Barèmes!$AB$65:$AB$148,Barèmes!$BX$65:$BX$148),LOOKUP($A27,Barèmes!$AB$65:$AB$148,Barèmes!$CB$65:$CB$148),IF(I27&lt;LOOKUP($A27,Barèmes!$AB$65:$AB$148,Barèmes!$BY$65:$BY$148),LOOKUP($A27,Barèmes!$AB$65:$AB$148,Barèmes!$CC$65:$CC168),LOOKUP($A27,Barèmes!$AB$65:$AB$148,Barèmes!$CD$65:$CD$148))))))</f>
        <v>9.0999999999999998E-2</v>
      </c>
    </row>
    <row r="28" spans="1:26" x14ac:dyDescent="0.25">
      <c r="A28" s="15">
        <f>B28+Simulation!$D$4</f>
        <v>2038</v>
      </c>
      <c r="B28" s="19">
        <v>38</v>
      </c>
      <c r="C28" s="77">
        <f>IF(AND($B28&gt;=Simulation!$D$5,$B28&lt;Simulation!$D$6),IF(Simulation!$D$3=1,LOOKUP($B28,Info_cas_type!$B$5:$B$55,Info_cas_type!$C$5:$C$55)*LOOKUP($A28,Barèmes!$A$65:$A$148,Barèmes!$D$65:$D$148),IF(Simulation!$D$3=2,LOOKUP($B28,Info_cas_type!$B$5:$B$55,Info_cas_type!$D$5:$D$55)*LOOKUP($A28,Barèmes!$A$65:$A$148,Barèmes!$D$65:$D$148),IF(Simulation!$D$3="2P",LOOKUP($B28,Info_cas_type!$B$5:$B$55,Info_cas_type!$E$5:$E$55)*LOOKUP($A28,Barèmes!$A$65:$A$148,Barèmes!$D$65:$D$148),IF(Simulation!$D$3="2M",LOOKUP($B28,Info_cas_type!$B$5:$B$55,Info_cas_type!$F$5:$F$55)*LOOKUP($A28,Barèmes!$A$65:$A$148,Barèmes!$D$65:$D$148),IF(Simulation!$D$3="SMIC",LOOKUP($A28,Barèmes!$A$65:$A$148,Barèmes!$F$65:$F$148),LOOKUP($B28,Info_cas_type!$B$5:$B$55,Info_cas_type!$G$5:$G$55)*LOOKUP($A28,Barèmes!$A$65:$A$148,Barèmes!$D$65:$D$148)))))),0)*LOOKUP($B28,Info_cas_type!$B$5:$B$55,Info_cas_type!$H$5:$H$55)</f>
        <v>55952.265949566339</v>
      </c>
      <c r="D28" s="56">
        <f>MIN($C28,LOOKUP($A28,Barèmes!$A$65:$A$148,Barèmes!$V$65:$V$148))</f>
        <v>55952.265949566339</v>
      </c>
      <c r="E28" s="56">
        <f>MIN(F28,7*LOOKUP($A28,Barèmes!$A$65:$A$148,Barèmes!$V$65:$V$148))</f>
        <v>0</v>
      </c>
      <c r="F28" s="56">
        <f>IF($C28&gt;LOOKUP($A28,Barèmes!$A$65:$A$148,Barèmes!$V$65:$V$148),($C28-LOOKUP($A28,Barèmes!$A$65:$A$148,Barèmes!$V$65:$V$148)),0)</f>
        <v>0</v>
      </c>
      <c r="H28" s="81">
        <f t="shared" si="0"/>
        <v>44291.897654075641</v>
      </c>
      <c r="I28" s="56">
        <f>H28+LOOKUP($A28,Barèmes!$A$5:$A$148,Barèmes!$CK$5:$CK$148)*C28*(LOOKUP($A28,Barèmes!$CG$65:$CG$148,Barèmes!$CH$65:$CH$148)-LOOKUP($A28,Barèmes!$CG$65:$CG$148,Barèmes!$CI$65:$CI$148))</f>
        <v>45611.252085166416</v>
      </c>
      <c r="K28" s="320">
        <f>LOOKUP($A28,Barèmes!$A$65:$A$148,Barèmes!$K$65:$K$148)-LOOKUP($A28,Barèmes!$A$65:$A$148,Barèmes!$L$65:$L$148)+(LOOKUP($A28,Barèmes!$A$65:$A$148,Barèmes!$AC$65:$AC$148)-LOOKUP($A28,Barèmes!$A$65:$A$148,Barèmes!$AD$65:$AD$148))*LOOKUP($A28,Barèmes!$A$65:$A$148,Barèmes!$AI$65:$AI$148)+LOOKUP($A28,Barèmes!$A$65:$A$148,Barèmes!$AQ$65:$AQ$148)-LOOKUP($A28,Barèmes!$A$65:$A$148,Barèmes!$AR$65:$AR$148)+LOOKUP($A28,Barèmes!$A$65:$A$148,Barèmes!$CL$65:$CL$148)+LOOKUP($A28,Barèmes!$A$65:$A$148,Barèmes!$CM$65:$CM$148)+LOOKUP($A28,Barèmes!$A$5:$A$148,Barèmes!$CK$5:$CK$148)*(LOOKUP($A28,Barèmes!$A$65:$A$148,Barèmes!$CH$65:$CH$148)+LOOKUP($A28,Barèmes!$A$65:$A$148,Barèmes!$CJ$65:$CJ$148))</f>
        <v>0.20839849999999999</v>
      </c>
      <c r="L28" s="320">
        <f>K28+LOOKUP($A28,Barèmes!$A$65:$A$148,Barèmes!$AL$65:$AL$148)-LOOKUP($A28,Barèmes!$A$65:$A$148,Barèmes!$AM$65:$AM$148)+IF($A28&gt;2010,LOOKUP($A28,Barèmes!$CG$5:$CG$148,Barèmes!$CO$5:$CO$148),0)</f>
        <v>0.21003849999999999</v>
      </c>
      <c r="M28" s="320">
        <f>(LOOKUP($A28,Barèmes!$A$65:$A$148,Barèmes!$AF$65:$AF$148)-LOOKUP($A28,Barèmes!$A$65:$A$148,Barèmes!$AG$65:$AG$148))*LOOKUP($A28,Barèmes!$A$65:$A$148,Barèmes!$AI$65:$AI$148)+LOOKUP($A28,Barèmes!$A$65:$A$148,Barèmes!$AL$65:$AL$148)-LOOKUP($A28,Barèmes!$A$65:$A$148,Barèmes!$AM$65:$AM$148)+LOOKUP($A28,Barèmes!$A$65:$A$148,Barèmes!$AV$65:$AV$148)-LOOKUP($A28,Barèmes!$A$65:$A$148,Barèmes!$AW$65:$AW$148)+LOOKUP($A28,Barèmes!$A$65:$A$148,Barèmes!$CN$65:$CN$148)+LOOKUP($A28,Barèmes!$A$65:$A$148,Barèmes!$CO$65:$CO$148)</f>
        <v>9.8799999999999999E-2</v>
      </c>
      <c r="N28" s="320">
        <f>LOOKUP($A28,Barèmes!$A$65:$A$148,Barèmes!$N$65:$N$148)-LOOKUP($A28,Barèmes!$A$65:$A$148,Barèmes!O86:O169)+0.9825*LOOKUP($A28,Barèmes!$A$65:$A$148,Barèmes!$CH$65:$CH$148)+0.9825*LOOKUP($A28,Barèmes!$A$65:$A$148,Barèmes!$CJ$65:$CJ$148)+LOOKUP($A28,Barèmes!$A$65:$A$148,Barèmes!$CL$65:$CL$148)</f>
        <v>9.9302500000000002E-2</v>
      </c>
      <c r="P28" s="321">
        <f>C28/LOOKUP($A28,Barèmes!$A$65:$A$148,Barèmes!$C$65:$C$148)</f>
        <v>42386.615650783329</v>
      </c>
      <c r="Q28" s="321">
        <f>H28/LOOKUP($A28,Barèmes!$A$65:$A$148,Barèmes!$C$65:$C$148)</f>
        <v>33553.308529083566</v>
      </c>
      <c r="R28" s="321">
        <f>I28/LOOKUP($A28,Barèmes!$A$65:$A$148,Barèmes!$C$65:$C$148)</f>
        <v>34552.784926129032</v>
      </c>
      <c r="T28" s="321">
        <f>C28/LOOKUP($A28,Barèmes!$A$65:$A$148,Barèmes!$G$65:$G$148)</f>
        <v>32769.957375891565</v>
      </c>
      <c r="U28" s="321">
        <f>H28/LOOKUP($A28,Barèmes!$A$65:$A$148,Barèmes!$G$65:$G$148)</f>
        <v>25940.747413691832</v>
      </c>
      <c r="V28" s="321">
        <f>I28/LOOKUP($A28,Barèmes!$A$65:$A$148,Barèmes!$G$65:$G$148)</f>
        <v>26713.463008615352</v>
      </c>
      <c r="Y28" s="95">
        <v>1</v>
      </c>
      <c r="Z28" s="280">
        <f>IF($Y28=1,IF(I28&lt;LOOKUP($A28,Barèmes!$AB$65:$AB$148,Barèmes!$BM$65:$BM$148),LOOKUP($A28,Barèmes!$AB$65:$AB$148,Barèmes!$BQ$65:$BQ$148),IF(I28&lt;LOOKUP($A28,Barèmes!$AB$65:$AB$148,Barèmes!$BN$65:$BN$148),LOOKUP($A28,Barèmes!$AB$65:$AB$148,Barèmes!$BR$65:$BR$148),IF(I28&lt;LOOKUP($A28,Barèmes!$AB$65:$AB$148,Barèmes!$BO$65:$BO$148),LOOKUP($A28,Barèmes!$AB$65:$AB$148,Barèmes!$BS$65:$BS$148),LOOKUP($A28,Barèmes!$AB$65:$AB$148,Barèmes!$BT$65:$BT$148)))),IF($Y28=2,IF(I28&lt;LOOKUP($A28,Barèmes!$AB$65:$AB$148,Barèmes!$BW$65:$BW$148),LOOKUP($A28,Barèmes!$AB$65:$AB$148,Barèmes!$CA$65:$CA$148),IF(I28&lt;LOOKUP($A28,Barèmes!$AB$65:$AB$148,Barèmes!$BX$65:$BX$148),LOOKUP($A28,Barèmes!$AB$65:$AB$148,Barèmes!$CB$65:$CB$148),IF(I28&lt;LOOKUP($A28,Barèmes!$AB$65:$AB$148,Barèmes!$BY$65:$BY$148),LOOKUP($A28,Barèmes!$AB$65:$AB$148,Barèmes!$CC$65:$CC169),LOOKUP($A28,Barèmes!$AB$65:$AB$148,Barèmes!$CD$65:$CD$148))))))</f>
        <v>9.0999999999999998E-2</v>
      </c>
    </row>
    <row r="29" spans="1:26" x14ac:dyDescent="0.25">
      <c r="A29" s="15">
        <f>B29+Simulation!$D$4</f>
        <v>2039</v>
      </c>
      <c r="B29" s="19">
        <v>39</v>
      </c>
      <c r="C29" s="77">
        <f>IF(AND($B29&gt;=Simulation!$D$5,$B29&lt;Simulation!$D$6),IF(Simulation!$D$3=1,LOOKUP($B29,Info_cas_type!$B$5:$B$55,Info_cas_type!$C$5:$C$55)*LOOKUP($A29,Barèmes!$A$65:$A$148,Barèmes!$D$65:$D$148),IF(Simulation!$D$3=2,LOOKUP($B29,Info_cas_type!$B$5:$B$55,Info_cas_type!$D$5:$D$55)*LOOKUP($A29,Barèmes!$A$65:$A$148,Barèmes!$D$65:$D$148),IF(Simulation!$D$3="2P",LOOKUP($B29,Info_cas_type!$B$5:$B$55,Info_cas_type!$E$5:$E$55)*LOOKUP($A29,Barèmes!$A$65:$A$148,Barèmes!$D$65:$D$148),IF(Simulation!$D$3="2M",LOOKUP($B29,Info_cas_type!$B$5:$B$55,Info_cas_type!$F$5:$F$55)*LOOKUP($A29,Barèmes!$A$65:$A$148,Barèmes!$D$65:$D$148),IF(Simulation!$D$3="SMIC",LOOKUP($A29,Barèmes!$A$65:$A$148,Barèmes!$F$65:$F$148),LOOKUP($B29,Info_cas_type!$B$5:$B$55,Info_cas_type!$G$5:$G$55)*LOOKUP($A29,Barèmes!$A$65:$A$148,Barèmes!$D$65:$D$148)))))),0)*LOOKUP($B29,Info_cas_type!$B$5:$B$55,Info_cas_type!$H$5:$H$55)</f>
        <v>59540.587223276743</v>
      </c>
      <c r="D29" s="56">
        <f>MIN($C29,LOOKUP($A29,Barèmes!$A$65:$A$148,Barèmes!$V$65:$V$148))</f>
        <v>59540.587223276743</v>
      </c>
      <c r="E29" s="56">
        <f>MIN(F29,7*LOOKUP($A29,Barèmes!$A$65:$A$148,Barèmes!$V$65:$V$148))</f>
        <v>0</v>
      </c>
      <c r="F29" s="56">
        <f>IF($C29&gt;LOOKUP($A29,Barèmes!$A$65:$A$148,Barèmes!$V$65:$V$148),($C29-LOOKUP($A29,Barèmes!$A$65:$A$148,Barèmes!$V$65:$V$148)),0)</f>
        <v>0</v>
      </c>
      <c r="H29" s="81">
        <f t="shared" si="0"/>
        <v>47132.418156826709</v>
      </c>
      <c r="I29" s="56">
        <f>H29+LOOKUP($A29,Barèmes!$A$5:$A$148,Barèmes!$CK$5:$CK$148)*C29*(LOOKUP($A29,Barèmes!$CG$65:$CG$148,Barèmes!$CH$65:$CH$148)-LOOKUP($A29,Barèmes!$CG$65:$CG$148,Barèmes!$CI$65:$CI$148))</f>
        <v>48536.385203551574</v>
      </c>
      <c r="K29" s="320">
        <f>LOOKUP($A29,Barèmes!$A$65:$A$148,Barèmes!$K$65:$K$148)-LOOKUP($A29,Barèmes!$A$65:$A$148,Barèmes!$L$65:$L$148)+(LOOKUP($A29,Barèmes!$A$65:$A$148,Barèmes!$AC$65:$AC$148)-LOOKUP($A29,Barèmes!$A$65:$A$148,Barèmes!$AD$65:$AD$148))*LOOKUP($A29,Barèmes!$A$65:$A$148,Barèmes!$AI$65:$AI$148)+LOOKUP($A29,Barèmes!$A$65:$A$148,Barèmes!$AQ$65:$AQ$148)-LOOKUP($A29,Barèmes!$A$65:$A$148,Barèmes!$AR$65:$AR$148)+LOOKUP($A29,Barèmes!$A$65:$A$148,Barèmes!$CL$65:$CL$148)+LOOKUP($A29,Barèmes!$A$65:$A$148,Barèmes!$CM$65:$CM$148)+LOOKUP($A29,Barèmes!$A$5:$A$148,Barèmes!$CK$5:$CK$148)*(LOOKUP($A29,Barèmes!$A$65:$A$148,Barèmes!$CH$65:$CH$148)+LOOKUP($A29,Barèmes!$A$65:$A$148,Barèmes!$CJ$65:$CJ$148))</f>
        <v>0.20839849999999999</v>
      </c>
      <c r="L29" s="320">
        <f>K29+LOOKUP($A29,Barèmes!$A$65:$A$148,Barèmes!$AL$65:$AL$148)-LOOKUP($A29,Barèmes!$A$65:$A$148,Barèmes!$AM$65:$AM$148)+IF($A29&gt;2010,LOOKUP($A29,Barèmes!$CG$5:$CG$148,Barèmes!$CO$5:$CO$148),0)</f>
        <v>0.21003849999999999</v>
      </c>
      <c r="M29" s="320">
        <f>(LOOKUP($A29,Barèmes!$A$65:$A$148,Barèmes!$AF$65:$AF$148)-LOOKUP($A29,Barèmes!$A$65:$A$148,Barèmes!$AG$65:$AG$148))*LOOKUP($A29,Barèmes!$A$65:$A$148,Barèmes!$AI$65:$AI$148)+LOOKUP($A29,Barèmes!$A$65:$A$148,Barèmes!$AL$65:$AL$148)-LOOKUP($A29,Barèmes!$A$65:$A$148,Barèmes!$AM$65:$AM$148)+LOOKUP($A29,Barèmes!$A$65:$A$148,Barèmes!$AV$65:$AV$148)-LOOKUP($A29,Barèmes!$A$65:$A$148,Barèmes!$AW$65:$AW$148)+LOOKUP($A29,Barèmes!$A$65:$A$148,Barèmes!$CN$65:$CN$148)+LOOKUP($A29,Barèmes!$A$65:$A$148,Barèmes!$CO$65:$CO$148)</f>
        <v>9.8799999999999999E-2</v>
      </c>
      <c r="N29" s="320">
        <f>LOOKUP($A29,Barèmes!$A$65:$A$148,Barèmes!$N$65:$N$148)-LOOKUP($A29,Barèmes!$A$65:$A$148,Barèmes!O87:O170)+0.9825*LOOKUP($A29,Barèmes!$A$65:$A$148,Barèmes!$CH$65:$CH$148)+0.9825*LOOKUP($A29,Barèmes!$A$65:$A$148,Barèmes!$CJ$65:$CJ$148)+LOOKUP($A29,Barèmes!$A$65:$A$148,Barèmes!$CL$65:$CL$148)</f>
        <v>9.9302500000000002E-2</v>
      </c>
      <c r="P29" s="321">
        <f>C29/LOOKUP($A29,Barèmes!$A$65:$A$148,Barèmes!$C$65:$C$148)</f>
        <v>44329.186171753681</v>
      </c>
      <c r="Q29" s="321">
        <f>H29/LOOKUP($A29,Barèmes!$A$65:$A$148,Barèmes!$C$65:$C$148)</f>
        <v>35091.050267339473</v>
      </c>
      <c r="R29" s="321">
        <f>I29/LOOKUP($A29,Barèmes!$A$65:$A$148,Barèmes!$C$65:$C$148)</f>
        <v>36136.332477269425</v>
      </c>
      <c r="T29" s="321">
        <f>C29/LOOKUP($A29,Barèmes!$A$65:$A$148,Barèmes!$G$65:$G$148)</f>
        <v>33831.98250742221</v>
      </c>
      <c r="U29" s="321">
        <f>H29/LOOKUP($A29,Barèmes!$A$65:$A$148,Barèmes!$G$65:$G$148)</f>
        <v>26781.448100849186</v>
      </c>
      <c r="V29" s="321">
        <f>I29/LOOKUP($A29,Barèmes!$A$65:$A$148,Barèmes!$G$65:$G$148)</f>
        <v>27579.206248374201</v>
      </c>
      <c r="Y29" s="95">
        <v>1</v>
      </c>
      <c r="Z29" s="280">
        <f>IF($Y29=1,IF(I29&lt;LOOKUP($A29,Barèmes!$AB$65:$AB$148,Barèmes!$BM$65:$BM$148),LOOKUP($A29,Barèmes!$AB$65:$AB$148,Barèmes!$BQ$65:$BQ$148),IF(I29&lt;LOOKUP($A29,Barèmes!$AB$65:$AB$148,Barèmes!$BN$65:$BN$148),LOOKUP($A29,Barèmes!$AB$65:$AB$148,Barèmes!$BR$65:$BR$148),IF(I29&lt;LOOKUP($A29,Barèmes!$AB$65:$AB$148,Barèmes!$BO$65:$BO$148),LOOKUP($A29,Barèmes!$AB$65:$AB$148,Barèmes!$BS$65:$BS$148),LOOKUP($A29,Barèmes!$AB$65:$AB$148,Barèmes!$BT$65:$BT$148)))),IF($Y29=2,IF(I29&lt;LOOKUP($A29,Barèmes!$AB$65:$AB$148,Barèmes!$BW$65:$BW$148),LOOKUP($A29,Barèmes!$AB$65:$AB$148,Barèmes!$CA$65:$CA$148),IF(I29&lt;LOOKUP($A29,Barèmes!$AB$65:$AB$148,Barèmes!$BX$65:$BX$148),LOOKUP($A29,Barèmes!$AB$65:$AB$148,Barèmes!$CB$65:$CB$148),IF(I29&lt;LOOKUP($A29,Barèmes!$AB$65:$AB$148,Barèmes!$BY$65:$BY$148),LOOKUP($A29,Barèmes!$AB$65:$AB$148,Barèmes!$CC$65:$CC170),LOOKUP($A29,Barèmes!$AB$65:$AB$148,Barèmes!$CD$65:$CD$148))))))</f>
        <v>9.0999999999999998E-2</v>
      </c>
    </row>
    <row r="30" spans="1:26" x14ac:dyDescent="0.25">
      <c r="A30" s="15">
        <f>B30+Simulation!$D$4</f>
        <v>2040</v>
      </c>
      <c r="B30" s="19">
        <v>40</v>
      </c>
      <c r="C30" s="77">
        <f>IF(AND($B30&gt;=Simulation!$D$5,$B30&lt;Simulation!$D$6),IF(Simulation!$D$3=1,LOOKUP($B30,Info_cas_type!$B$5:$B$55,Info_cas_type!$C$5:$C$55)*LOOKUP($A30,Barèmes!$A$65:$A$148,Barèmes!$D$65:$D$148),IF(Simulation!$D$3=2,LOOKUP($B30,Info_cas_type!$B$5:$B$55,Info_cas_type!$D$5:$D$55)*LOOKUP($A30,Barèmes!$A$65:$A$148,Barèmes!$D$65:$D$148),IF(Simulation!$D$3="2P",LOOKUP($B30,Info_cas_type!$B$5:$B$55,Info_cas_type!$E$5:$E$55)*LOOKUP($A30,Barèmes!$A$65:$A$148,Barèmes!$D$65:$D$148),IF(Simulation!$D$3="2M",LOOKUP($B30,Info_cas_type!$B$5:$B$55,Info_cas_type!$F$5:$F$55)*LOOKUP($A30,Barèmes!$A$65:$A$148,Barèmes!$D$65:$D$148),IF(Simulation!$D$3="SMIC",LOOKUP($A30,Barèmes!$A$65:$A$148,Barèmes!$F$65:$F$148),LOOKUP($B30,Info_cas_type!$B$5:$B$55,Info_cas_type!$G$5:$G$55)*LOOKUP($A30,Barèmes!$A$65:$A$148,Barèmes!$D$65:$D$148)))))),0)*LOOKUP($B30,Info_cas_type!$B$5:$B$55,Info_cas_type!$H$5:$H$55)</f>
        <v>61023.60328917711</v>
      </c>
      <c r="D30" s="56">
        <f>MIN($C30,LOOKUP($A30,Barèmes!$A$65:$A$148,Barèmes!$V$65:$V$148))</f>
        <v>61023.60328917711</v>
      </c>
      <c r="E30" s="56">
        <f>MIN(F30,7*LOOKUP($A30,Barèmes!$A$65:$A$148,Barèmes!$V$65:$V$148))</f>
        <v>0</v>
      </c>
      <c r="F30" s="56">
        <f>IF($C30&gt;LOOKUP($A30,Barèmes!$A$65:$A$148,Barèmes!$V$65:$V$148),($C30-LOOKUP($A30,Barèmes!$A$65:$A$148,Barèmes!$V$65:$V$148)),0)</f>
        <v>0</v>
      </c>
      <c r="H30" s="81">
        <f t="shared" si="0"/>
        <v>48306.375899117542</v>
      </c>
      <c r="I30" s="56">
        <f>H30+LOOKUP($A30,Barèmes!$A$5:$A$148,Barèmes!$CK$5:$CK$148)*C30*(LOOKUP($A30,Barèmes!$CG$65:$CG$148,Barèmes!$CH$65:$CH$148)-LOOKUP($A30,Barèmes!$CG$65:$CG$148,Barèmes!$CI$65:$CI$148))</f>
        <v>49745.312464676339</v>
      </c>
      <c r="K30" s="320">
        <f>LOOKUP($A30,Barèmes!$A$65:$A$148,Barèmes!$K$65:$K$148)-LOOKUP($A30,Barèmes!$A$65:$A$148,Barèmes!$L$65:$L$148)+(LOOKUP($A30,Barèmes!$A$65:$A$148,Barèmes!$AC$65:$AC$148)-LOOKUP($A30,Barèmes!$A$65:$A$148,Barèmes!$AD$65:$AD$148))*LOOKUP($A30,Barèmes!$A$65:$A$148,Barèmes!$AI$65:$AI$148)+LOOKUP($A30,Barèmes!$A$65:$A$148,Barèmes!$AQ$65:$AQ$148)-LOOKUP($A30,Barèmes!$A$65:$A$148,Barèmes!$AR$65:$AR$148)+LOOKUP($A30,Barèmes!$A$65:$A$148,Barèmes!$CL$65:$CL$148)+LOOKUP($A30,Barèmes!$A$65:$A$148,Barèmes!$CM$65:$CM$148)+LOOKUP($A30,Barèmes!$A$5:$A$148,Barèmes!$CK$5:$CK$148)*(LOOKUP($A30,Barèmes!$A$65:$A$148,Barèmes!$CH$65:$CH$148)+LOOKUP($A30,Barèmes!$A$65:$A$148,Barèmes!$CJ$65:$CJ$148))</f>
        <v>0.20839849999999999</v>
      </c>
      <c r="L30" s="320">
        <f>K30+LOOKUP($A30,Barèmes!$A$65:$A$148,Barèmes!$AL$65:$AL$148)-LOOKUP($A30,Barèmes!$A$65:$A$148,Barèmes!$AM$65:$AM$148)+IF($A30&gt;2010,LOOKUP($A30,Barèmes!$CG$5:$CG$148,Barèmes!$CO$5:$CO$148),0)</f>
        <v>0.21003849999999999</v>
      </c>
      <c r="M30" s="320">
        <f>(LOOKUP($A30,Barèmes!$A$65:$A$148,Barèmes!$AF$65:$AF$148)-LOOKUP($A30,Barèmes!$A$65:$A$148,Barèmes!$AG$65:$AG$148))*LOOKUP($A30,Barèmes!$A$65:$A$148,Barèmes!$AI$65:$AI$148)+LOOKUP($A30,Barèmes!$A$65:$A$148,Barèmes!$AL$65:$AL$148)-LOOKUP($A30,Barèmes!$A$65:$A$148,Barèmes!$AM$65:$AM$148)+LOOKUP($A30,Barèmes!$A$65:$A$148,Barèmes!$AV$65:$AV$148)-LOOKUP($A30,Barèmes!$A$65:$A$148,Barèmes!$AW$65:$AW$148)+LOOKUP($A30,Barèmes!$A$65:$A$148,Barèmes!$CN$65:$CN$148)+LOOKUP($A30,Barèmes!$A$65:$A$148,Barèmes!$CO$65:$CO$148)</f>
        <v>9.8799999999999999E-2</v>
      </c>
      <c r="N30" s="320">
        <f>LOOKUP($A30,Barèmes!$A$65:$A$148,Barèmes!$N$65:$N$148)-LOOKUP($A30,Barèmes!$A$65:$A$148,Barèmes!O88:O171)+0.9825*LOOKUP($A30,Barèmes!$A$65:$A$148,Barèmes!$CH$65:$CH$148)+0.9825*LOOKUP($A30,Barèmes!$A$65:$A$148,Barèmes!$CJ$65:$CJ$148)+LOOKUP($A30,Barèmes!$A$65:$A$148,Barèmes!$CL$65:$CL$148)</f>
        <v>9.9302500000000002E-2</v>
      </c>
      <c r="P30" s="321">
        <f>C30/LOOKUP($A30,Barèmes!$A$65:$A$148,Barèmes!$C$65:$C$148)</f>
        <v>44651.913508445286</v>
      </c>
      <c r="Q30" s="321">
        <f>H30/LOOKUP($A30,Barèmes!$A$65:$A$148,Barèmes!$C$65:$C$148)</f>
        <v>35346.521711155554</v>
      </c>
      <c r="R30" s="321">
        <f>I30/LOOKUP($A30,Barèmes!$A$65:$A$148,Barèmes!$C$65:$C$148)</f>
        <v>36399.413831684695</v>
      </c>
      <c r="T30" s="321">
        <f>C30/LOOKUP($A30,Barèmes!$A$65:$A$148,Barèmes!$G$65:$G$148)</f>
        <v>33640.955211702181</v>
      </c>
      <c r="U30" s="321">
        <f>H30/LOOKUP($A30,Barèmes!$A$65:$A$148,Barèmes!$G$65:$G$148)</f>
        <v>26630.230607016267</v>
      </c>
      <c r="V30" s="321">
        <f>I30/LOOKUP($A30,Barèmes!$A$65:$A$148,Barèmes!$G$65:$G$148)</f>
        <v>27423.484330908206</v>
      </c>
      <c r="Y30" s="95">
        <v>1</v>
      </c>
      <c r="Z30" s="280">
        <f>IF($Y30=1,IF(I30&lt;LOOKUP($A30,Barèmes!$AB$65:$AB$148,Barèmes!$BM$65:$BM$148),LOOKUP($A30,Barèmes!$AB$65:$AB$148,Barèmes!$BQ$65:$BQ$148),IF(I30&lt;LOOKUP($A30,Barèmes!$AB$65:$AB$148,Barèmes!$BN$65:$BN$148),LOOKUP($A30,Barèmes!$AB$65:$AB$148,Barèmes!$BR$65:$BR$148),IF(I30&lt;LOOKUP($A30,Barèmes!$AB$65:$AB$148,Barèmes!$BO$65:$BO$148),LOOKUP($A30,Barèmes!$AB$65:$AB$148,Barèmes!$BS$65:$BS$148),LOOKUP($A30,Barèmes!$AB$65:$AB$148,Barèmes!$BT$65:$BT$148)))),IF($Y30=2,IF(I30&lt;LOOKUP($A30,Barèmes!$AB$65:$AB$148,Barèmes!$BW$65:$BW$148),LOOKUP($A30,Barèmes!$AB$65:$AB$148,Barèmes!$CA$65:$CA$148),IF(I30&lt;LOOKUP($A30,Barèmes!$AB$65:$AB$148,Barèmes!$BX$65:$BX$148),LOOKUP($A30,Barèmes!$AB$65:$AB$148,Barèmes!$CB$65:$CB$148),IF(I30&lt;LOOKUP($A30,Barèmes!$AB$65:$AB$148,Barèmes!$BY$65:$BY$148),LOOKUP($A30,Barèmes!$AB$65:$AB$148,Barèmes!$CC$65:$CC171),LOOKUP($A30,Barèmes!$AB$65:$AB$148,Barèmes!$CD$65:$CD$148))))))</f>
        <v>9.0999999999999998E-2</v>
      </c>
    </row>
    <row r="31" spans="1:26" x14ac:dyDescent="0.25">
      <c r="A31" s="15">
        <f>B31+Simulation!$D$4</f>
        <v>2041</v>
      </c>
      <c r="B31" s="19">
        <v>41</v>
      </c>
      <c r="C31" s="77">
        <f>IF(AND($B31&gt;=Simulation!$D$5,$B31&lt;Simulation!$D$6),IF(Simulation!$D$3=1,LOOKUP($B31,Info_cas_type!$B$5:$B$55,Info_cas_type!$C$5:$C$55)*LOOKUP($A31,Barèmes!$A$65:$A$148,Barèmes!$D$65:$D$148),IF(Simulation!$D$3=2,LOOKUP($B31,Info_cas_type!$B$5:$B$55,Info_cas_type!$D$5:$D$55)*LOOKUP($A31,Barèmes!$A$65:$A$148,Barèmes!$D$65:$D$148),IF(Simulation!$D$3="2P",LOOKUP($B31,Info_cas_type!$B$5:$B$55,Info_cas_type!$E$5:$E$55)*LOOKUP($A31,Barèmes!$A$65:$A$148,Barèmes!$D$65:$D$148),IF(Simulation!$D$3="2M",LOOKUP($B31,Info_cas_type!$B$5:$B$55,Info_cas_type!$F$5:$F$55)*LOOKUP($A31,Barèmes!$A$65:$A$148,Barèmes!$D$65:$D$148),IF(Simulation!$D$3="SMIC",LOOKUP($A31,Barèmes!$A$65:$A$148,Barèmes!$F$65:$F$148),LOOKUP($B31,Info_cas_type!$B$5:$B$55,Info_cas_type!$G$5:$G$55)*LOOKUP($A31,Barèmes!$A$65:$A$148,Barèmes!$D$65:$D$148)))))),0)*LOOKUP($B31,Info_cas_type!$B$5:$B$55,Info_cas_type!$H$5:$H$55)</f>
        <v>63397.257496449602</v>
      </c>
      <c r="D31" s="56">
        <f>MIN($C31,LOOKUP($A31,Barèmes!$A$65:$A$148,Barèmes!$V$65:$V$148))</f>
        <v>63397.257496449602</v>
      </c>
      <c r="E31" s="56">
        <f>MIN(F31,7*LOOKUP($A31,Barèmes!$A$65:$A$148,Barèmes!$V$65:$V$148))</f>
        <v>0</v>
      </c>
      <c r="F31" s="56">
        <f>IF($C31&gt;LOOKUP($A31,Barèmes!$A$65:$A$148,Barèmes!$V$65:$V$148),($C31-LOOKUP($A31,Barèmes!$A$65:$A$148,Barèmes!$V$65:$V$148)),0)</f>
        <v>0</v>
      </c>
      <c r="H31" s="81">
        <f t="shared" si="0"/>
        <v>50185.364130075752</v>
      </c>
      <c r="I31" s="56">
        <f>H31+LOOKUP($A31,Barèmes!$A$5:$A$148,Barèmes!$CK$5:$CK$148)*C31*(LOOKUP($A31,Barèmes!$CG$65:$CG$148,Barèmes!$CH$65:$CH$148)-LOOKUP($A31,Barèmes!$CG$65:$CG$148,Barèmes!$CI$65:$CI$148))</f>
        <v>51680.271461842036</v>
      </c>
      <c r="K31" s="320">
        <f>LOOKUP($A31,Barèmes!$A$65:$A$148,Barèmes!$K$65:$K$148)-LOOKUP($A31,Barèmes!$A$65:$A$148,Barèmes!$L$65:$L$148)+(LOOKUP($A31,Barèmes!$A$65:$A$148,Barèmes!$AC$65:$AC$148)-LOOKUP($A31,Barèmes!$A$65:$A$148,Barèmes!$AD$65:$AD$148))*LOOKUP($A31,Barèmes!$A$65:$A$148,Barèmes!$AI$65:$AI$148)+LOOKUP($A31,Barèmes!$A$65:$A$148,Barèmes!$AQ$65:$AQ$148)-LOOKUP($A31,Barèmes!$A$65:$A$148,Barèmes!$AR$65:$AR$148)+LOOKUP($A31,Barèmes!$A$65:$A$148,Barèmes!$CL$65:$CL$148)+LOOKUP($A31,Barèmes!$A$65:$A$148,Barèmes!$CM$65:$CM$148)+LOOKUP($A31,Barèmes!$A$5:$A$148,Barèmes!$CK$5:$CK$148)*(LOOKUP($A31,Barèmes!$A$65:$A$148,Barèmes!$CH$65:$CH$148)+LOOKUP($A31,Barèmes!$A$65:$A$148,Barèmes!$CJ$65:$CJ$148))</f>
        <v>0.20839849999999999</v>
      </c>
      <c r="L31" s="320">
        <f>K31+LOOKUP($A31,Barèmes!$A$65:$A$148,Barèmes!$AL$65:$AL$148)-LOOKUP($A31,Barèmes!$A$65:$A$148,Barèmes!$AM$65:$AM$148)+IF($A31&gt;2010,LOOKUP($A31,Barèmes!$CG$5:$CG$148,Barèmes!$CO$5:$CO$148),0)</f>
        <v>0.21003849999999999</v>
      </c>
      <c r="M31" s="320">
        <f>(LOOKUP($A31,Barèmes!$A$65:$A$148,Barèmes!$AF$65:$AF$148)-LOOKUP($A31,Barèmes!$A$65:$A$148,Barèmes!$AG$65:$AG$148))*LOOKUP($A31,Barèmes!$A$65:$A$148,Barèmes!$AI$65:$AI$148)+LOOKUP($A31,Barèmes!$A$65:$A$148,Barèmes!$AL$65:$AL$148)-LOOKUP($A31,Barèmes!$A$65:$A$148,Barèmes!$AM$65:$AM$148)+LOOKUP($A31,Barèmes!$A$65:$A$148,Barèmes!$AV$65:$AV$148)-LOOKUP($A31,Barèmes!$A$65:$A$148,Barèmes!$AW$65:$AW$148)+LOOKUP($A31,Barèmes!$A$65:$A$148,Barèmes!$CN$65:$CN$148)+LOOKUP($A31,Barèmes!$A$65:$A$148,Barèmes!$CO$65:$CO$148)</f>
        <v>9.8799999999999999E-2</v>
      </c>
      <c r="N31" s="320">
        <f>LOOKUP($A31,Barèmes!$A$65:$A$148,Barèmes!$N$65:$N$148)-LOOKUP($A31,Barèmes!$A$65:$A$148,Barèmes!O89:O172)+0.9825*LOOKUP($A31,Barèmes!$A$65:$A$148,Barèmes!$CH$65:$CH$148)+0.9825*LOOKUP($A31,Barèmes!$A$65:$A$148,Barèmes!$CJ$65:$CJ$148)+LOOKUP($A31,Barèmes!$A$65:$A$148,Barèmes!$CL$65:$CL$148)</f>
        <v>9.9302500000000002E-2</v>
      </c>
      <c r="P31" s="321">
        <f>C31/LOOKUP($A31,Barèmes!$A$65:$A$148,Barèmes!$C$65:$C$148)</f>
        <v>45590.912011167733</v>
      </c>
      <c r="Q31" s="321">
        <f>H31/LOOKUP($A31,Barèmes!$A$65:$A$148,Barèmes!$C$65:$C$148)</f>
        <v>36089.834334408399</v>
      </c>
      <c r="R31" s="321">
        <f>I31/LOOKUP($A31,Barèmes!$A$65:$A$148,Barèmes!$C$65:$C$148)</f>
        <v>37164.868039631736</v>
      </c>
      <c r="T31" s="321">
        <f>C31/LOOKUP($A31,Barèmes!$A$65:$A$148,Barèmes!$G$65:$G$148)</f>
        <v>33907.602136901594</v>
      </c>
      <c r="U31" s="321">
        <f>H31/LOOKUP($A31,Barèmes!$A$65:$A$148,Barèmes!$G$65:$G$148)</f>
        <v>26841.308712974507</v>
      </c>
      <c r="V31" s="321">
        <f>I31/LOOKUP($A31,Barèmes!$A$65:$A$148,Barèmes!$G$65:$G$148)</f>
        <v>27640.849971362648</v>
      </c>
      <c r="Y31" s="95">
        <v>1</v>
      </c>
      <c r="Z31" s="280">
        <f>IF($Y31=1,IF(I31&lt;LOOKUP($A31,Barèmes!$AB$65:$AB$148,Barèmes!$BM$65:$BM$148),LOOKUP($A31,Barèmes!$AB$65:$AB$148,Barèmes!$BQ$65:$BQ$148),IF(I31&lt;LOOKUP($A31,Barèmes!$AB$65:$AB$148,Barèmes!$BN$65:$BN$148),LOOKUP($A31,Barèmes!$AB$65:$AB$148,Barèmes!$BR$65:$BR$148),IF(I31&lt;LOOKUP($A31,Barèmes!$AB$65:$AB$148,Barèmes!$BO$65:$BO$148),LOOKUP($A31,Barèmes!$AB$65:$AB$148,Barèmes!$BS$65:$BS$148),LOOKUP($A31,Barèmes!$AB$65:$AB$148,Barèmes!$BT$65:$BT$148)))),IF($Y31=2,IF(I31&lt;LOOKUP($A31,Barèmes!$AB$65:$AB$148,Barèmes!$BW$65:$BW$148),LOOKUP($A31,Barèmes!$AB$65:$AB$148,Barèmes!$CA$65:$CA$148),IF(I31&lt;LOOKUP($A31,Barèmes!$AB$65:$AB$148,Barèmes!$BX$65:$BX$148),LOOKUP($A31,Barèmes!$AB$65:$AB$148,Barèmes!$CB$65:$CB$148),IF(I31&lt;LOOKUP($A31,Barèmes!$AB$65:$AB$148,Barèmes!$BY$65:$BY$148),LOOKUP($A31,Barèmes!$AB$65:$AB$148,Barèmes!$CC$65:$CC172),LOOKUP($A31,Barèmes!$AB$65:$AB$148,Barèmes!$CD$65:$CD$148))))))</f>
        <v>9.0999999999999998E-2</v>
      </c>
    </row>
    <row r="32" spans="1:26" x14ac:dyDescent="0.25">
      <c r="A32" s="15">
        <f>B32+Simulation!$D$4</f>
        <v>2042</v>
      </c>
      <c r="B32" s="19">
        <v>42</v>
      </c>
      <c r="C32" s="77">
        <f>IF(AND($B32&gt;=Simulation!$D$5,$B32&lt;Simulation!$D$6),IF(Simulation!$D$3=1,LOOKUP($B32,Info_cas_type!$B$5:$B$55,Info_cas_type!$C$5:$C$55)*LOOKUP($A32,Barèmes!$A$65:$A$148,Barèmes!$D$65:$D$148),IF(Simulation!$D$3=2,LOOKUP($B32,Info_cas_type!$B$5:$B$55,Info_cas_type!$D$5:$D$55)*LOOKUP($A32,Barèmes!$A$65:$A$148,Barèmes!$D$65:$D$148),IF(Simulation!$D$3="2P",LOOKUP($B32,Info_cas_type!$B$5:$B$55,Info_cas_type!$E$5:$E$55)*LOOKUP($A32,Barèmes!$A$65:$A$148,Barèmes!$D$65:$D$148),IF(Simulation!$D$3="2M",LOOKUP($B32,Info_cas_type!$B$5:$B$55,Info_cas_type!$F$5:$F$55)*LOOKUP($A32,Barèmes!$A$65:$A$148,Barèmes!$D$65:$D$148),IF(Simulation!$D$3="SMIC",LOOKUP($A32,Barèmes!$A$65:$A$148,Barèmes!$F$65:$F$148),LOOKUP($B32,Info_cas_type!$B$5:$B$55,Info_cas_type!$G$5:$G$55)*LOOKUP($A32,Barèmes!$A$65:$A$148,Barèmes!$D$65:$D$148)))))),0)*LOOKUP($B32,Info_cas_type!$B$5:$B$55,Info_cas_type!$H$5:$H$55)</f>
        <v>65240.349375143269</v>
      </c>
      <c r="D32" s="56">
        <f>MIN($C32,LOOKUP($A32,Barèmes!$A$65:$A$148,Barèmes!$V$65:$V$148))</f>
        <v>65240.349375143269</v>
      </c>
      <c r="E32" s="56">
        <f>MIN(F32,7*LOOKUP($A32,Barèmes!$A$65:$A$148,Barèmes!$V$65:$V$148))</f>
        <v>0</v>
      </c>
      <c r="F32" s="56">
        <f>IF($C32&gt;LOOKUP($A32,Barèmes!$A$65:$A$148,Barèmes!$V$65:$V$148),($C32-LOOKUP($A32,Barèmes!$A$65:$A$148,Barèmes!$V$65:$V$148)),0)</f>
        <v>0</v>
      </c>
      <c r="H32" s="81">
        <f t="shared" si="0"/>
        <v>51644.358425887476</v>
      </c>
      <c r="I32" s="56">
        <f>H32+LOOKUP($A32,Barèmes!$A$5:$A$148,Barèmes!$CK$5:$CK$148)*C32*(LOOKUP($A32,Barèmes!$CG$65:$CG$148,Barèmes!$CH$65:$CH$148)-LOOKUP($A32,Barèmes!$CG$65:$CG$148,Barèmes!$CI$65:$CI$148))</f>
        <v>53182.725864153355</v>
      </c>
      <c r="K32" s="320">
        <f>LOOKUP($A32,Barèmes!$A$65:$A$148,Barèmes!$K$65:$K$148)-LOOKUP($A32,Barèmes!$A$65:$A$148,Barèmes!$L$65:$L$148)+(LOOKUP($A32,Barèmes!$A$65:$A$148,Barèmes!$AC$65:$AC$148)-LOOKUP($A32,Barèmes!$A$65:$A$148,Barèmes!$AD$65:$AD$148))*LOOKUP($A32,Barèmes!$A$65:$A$148,Barèmes!$AI$65:$AI$148)+LOOKUP($A32,Barèmes!$A$65:$A$148,Barèmes!$AQ$65:$AQ$148)-LOOKUP($A32,Barèmes!$A$65:$A$148,Barèmes!$AR$65:$AR$148)+LOOKUP($A32,Barèmes!$A$65:$A$148,Barèmes!$CL$65:$CL$148)+LOOKUP($A32,Barèmes!$A$65:$A$148,Barèmes!$CM$65:$CM$148)+LOOKUP($A32,Barèmes!$A$5:$A$148,Barèmes!$CK$5:$CK$148)*(LOOKUP($A32,Barèmes!$A$65:$A$148,Barèmes!$CH$65:$CH$148)+LOOKUP($A32,Barèmes!$A$65:$A$148,Barèmes!$CJ$65:$CJ$148))</f>
        <v>0.20839849999999999</v>
      </c>
      <c r="L32" s="320">
        <f>K32+LOOKUP($A32,Barèmes!$A$65:$A$148,Barèmes!$AL$65:$AL$148)-LOOKUP($A32,Barèmes!$A$65:$A$148,Barèmes!$AM$65:$AM$148)+IF($A32&gt;2010,LOOKUP($A32,Barèmes!$CG$5:$CG$148,Barèmes!$CO$5:$CO$148),0)</f>
        <v>0.21003849999999999</v>
      </c>
      <c r="M32" s="320">
        <f>(LOOKUP($A32,Barèmes!$A$65:$A$148,Barèmes!$AF$65:$AF$148)-LOOKUP($A32,Barèmes!$A$65:$A$148,Barèmes!$AG$65:$AG$148))*LOOKUP($A32,Barèmes!$A$65:$A$148,Barèmes!$AI$65:$AI$148)+LOOKUP($A32,Barèmes!$A$65:$A$148,Barèmes!$AL$65:$AL$148)-LOOKUP($A32,Barèmes!$A$65:$A$148,Barèmes!$AM$65:$AM$148)+LOOKUP($A32,Barèmes!$A$65:$A$148,Barèmes!$AV$65:$AV$148)-LOOKUP($A32,Barèmes!$A$65:$A$148,Barèmes!$AW$65:$AW$148)+LOOKUP($A32,Barèmes!$A$65:$A$148,Barèmes!$CN$65:$CN$148)+LOOKUP($A32,Barèmes!$A$65:$A$148,Barèmes!$CO$65:$CO$148)</f>
        <v>9.8799999999999999E-2</v>
      </c>
      <c r="N32" s="320">
        <f>LOOKUP($A32,Barèmes!$A$65:$A$148,Barèmes!$N$65:$N$148)-LOOKUP($A32,Barèmes!$A$65:$A$148,Barèmes!O90:O173)+0.9825*LOOKUP($A32,Barèmes!$A$65:$A$148,Barèmes!$CH$65:$CH$148)+0.9825*LOOKUP($A32,Barèmes!$A$65:$A$148,Barèmes!$CJ$65:$CJ$148)+LOOKUP($A32,Barèmes!$A$65:$A$148,Barèmes!$CL$65:$CL$148)</f>
        <v>9.9302500000000002E-2</v>
      </c>
      <c r="P32" s="321">
        <f>C32/LOOKUP($A32,Barèmes!$A$65:$A$148,Barèmes!$C$65:$C$148)</f>
        <v>46109.421033456783</v>
      </c>
      <c r="Q32" s="321">
        <f>H32/LOOKUP($A32,Barèmes!$A$65:$A$148,Barèmes!$C$65:$C$148)</f>
        <v>36500.286854215941</v>
      </c>
      <c r="R32" s="321">
        <f>I32/LOOKUP($A32,Barèmes!$A$65:$A$148,Barèmes!$C$65:$C$148)</f>
        <v>37587.547002184852</v>
      </c>
      <c r="T32" s="321">
        <f>C32/LOOKUP($A32,Barèmes!$A$65:$A$148,Barèmes!$G$65:$G$148)</f>
        <v>33853.14507262491</v>
      </c>
      <c r="U32" s="321">
        <f>H32/LOOKUP($A32,Barèmes!$A$65:$A$148,Barèmes!$G$65:$G$148)</f>
        <v>26798.200419207489</v>
      </c>
      <c r="V32" s="321">
        <f>I32/LOOKUP($A32,Barèmes!$A$65:$A$148,Barèmes!$G$65:$G$148)</f>
        <v>27596.457580019985</v>
      </c>
      <c r="Y32" s="95">
        <v>1</v>
      </c>
      <c r="Z32" s="280">
        <f>IF($Y32=1,IF(I32&lt;LOOKUP($A32,Barèmes!$AB$65:$AB$148,Barèmes!$BM$65:$BM$148),LOOKUP($A32,Barèmes!$AB$65:$AB$148,Barèmes!$BQ$65:$BQ$148),IF(I32&lt;LOOKUP($A32,Barèmes!$AB$65:$AB$148,Barèmes!$BN$65:$BN$148),LOOKUP($A32,Barèmes!$AB$65:$AB$148,Barèmes!$BR$65:$BR$148),IF(I32&lt;LOOKUP($A32,Barèmes!$AB$65:$AB$148,Barèmes!$BO$65:$BO$148),LOOKUP($A32,Barèmes!$AB$65:$AB$148,Barèmes!$BS$65:$BS$148),LOOKUP($A32,Barèmes!$AB$65:$AB$148,Barèmes!$BT$65:$BT$148)))),IF($Y32=2,IF(I32&lt;LOOKUP($A32,Barèmes!$AB$65:$AB$148,Barèmes!$BW$65:$BW$148),LOOKUP($A32,Barèmes!$AB$65:$AB$148,Barèmes!$CA$65:$CA$148),IF(I32&lt;LOOKUP($A32,Barèmes!$AB$65:$AB$148,Barèmes!$BX$65:$BX$148),LOOKUP($A32,Barèmes!$AB$65:$AB$148,Barèmes!$CB$65:$CB$148),IF(I32&lt;LOOKUP($A32,Barèmes!$AB$65:$AB$148,Barèmes!$BY$65:$BY$148),LOOKUP($A32,Barèmes!$AB$65:$AB$148,Barèmes!$CC$65:$CC173),LOOKUP($A32,Barèmes!$AB$65:$AB$148,Barèmes!$CD$65:$CD$148))))))</f>
        <v>9.0999999999999998E-2</v>
      </c>
    </row>
    <row r="33" spans="1:26" x14ac:dyDescent="0.25">
      <c r="A33" s="15">
        <f>B33+Simulation!$D$4</f>
        <v>2043</v>
      </c>
      <c r="B33" s="19">
        <v>43</v>
      </c>
      <c r="C33" s="77">
        <f>IF(AND($B33&gt;=Simulation!$D$5,$B33&lt;Simulation!$D$6),IF(Simulation!$D$3=1,LOOKUP($B33,Info_cas_type!$B$5:$B$55,Info_cas_type!$C$5:$C$55)*LOOKUP($A33,Barèmes!$A$65:$A$148,Barèmes!$D$65:$D$148),IF(Simulation!$D$3=2,LOOKUP($B33,Info_cas_type!$B$5:$B$55,Info_cas_type!$D$5:$D$55)*LOOKUP($A33,Barèmes!$A$65:$A$148,Barèmes!$D$65:$D$148),IF(Simulation!$D$3="2P",LOOKUP($B33,Info_cas_type!$B$5:$B$55,Info_cas_type!$E$5:$E$55)*LOOKUP($A33,Barèmes!$A$65:$A$148,Barèmes!$D$65:$D$148),IF(Simulation!$D$3="2M",LOOKUP($B33,Info_cas_type!$B$5:$B$55,Info_cas_type!$F$5:$F$55)*LOOKUP($A33,Barèmes!$A$65:$A$148,Barèmes!$D$65:$D$148),IF(Simulation!$D$3="SMIC",LOOKUP($A33,Barèmes!$A$65:$A$148,Barèmes!$F$65:$F$148),LOOKUP($B33,Info_cas_type!$B$5:$B$55,Info_cas_type!$G$5:$G$55)*LOOKUP($A33,Barèmes!$A$65:$A$148,Barèmes!$D$65:$D$148)))))),0)*LOOKUP($B33,Info_cas_type!$B$5:$B$55,Info_cas_type!$H$5:$H$55)</f>
        <v>67489.002499698472</v>
      </c>
      <c r="D33" s="56">
        <f>MIN($C33,LOOKUP($A33,Barèmes!$A$65:$A$148,Barèmes!$V$65:$V$148))</f>
        <v>67489.002499698472</v>
      </c>
      <c r="E33" s="56">
        <f>MIN(F33,7*LOOKUP($A33,Barèmes!$A$65:$A$148,Barèmes!$V$65:$V$148))</f>
        <v>0</v>
      </c>
      <c r="F33" s="56">
        <f>IF($C33&gt;LOOKUP($A33,Barèmes!$A$65:$A$148,Barèmes!$V$65:$V$148),($C33-LOOKUP($A33,Barèmes!$A$65:$A$148,Barèmes!$V$65:$V$148)),0)</f>
        <v>0</v>
      </c>
      <c r="H33" s="81">
        <f t="shared" si="0"/>
        <v>53424.395612265063</v>
      </c>
      <c r="I33" s="56">
        <f>H33+LOOKUP($A33,Barèmes!$A$5:$A$148,Barèmes!$CK$5:$CK$148)*C33*(LOOKUP($A33,Barèmes!$CG$65:$CG$148,Barèmes!$CH$65:$CH$148)-LOOKUP($A33,Barèmes!$CG$65:$CG$148,Barèmes!$CI$65:$CI$148))</f>
        <v>55015.786291207951</v>
      </c>
      <c r="K33" s="320">
        <f>LOOKUP($A33,Barèmes!$A$65:$A$148,Barèmes!$K$65:$K$148)-LOOKUP($A33,Barèmes!$A$65:$A$148,Barèmes!$L$65:$L$148)+(LOOKUP($A33,Barèmes!$A$65:$A$148,Barèmes!$AC$65:$AC$148)-LOOKUP($A33,Barèmes!$A$65:$A$148,Barèmes!$AD$65:$AD$148))*LOOKUP($A33,Barèmes!$A$65:$A$148,Barèmes!$AI$65:$AI$148)+LOOKUP($A33,Barèmes!$A$65:$A$148,Barèmes!$AQ$65:$AQ$148)-LOOKUP($A33,Barèmes!$A$65:$A$148,Barèmes!$AR$65:$AR$148)+LOOKUP($A33,Barèmes!$A$65:$A$148,Barèmes!$CL$65:$CL$148)+LOOKUP($A33,Barèmes!$A$65:$A$148,Barèmes!$CM$65:$CM$148)+LOOKUP($A33,Barèmes!$A$5:$A$148,Barèmes!$CK$5:$CK$148)*(LOOKUP($A33,Barèmes!$A$65:$A$148,Barèmes!$CH$65:$CH$148)+LOOKUP($A33,Barèmes!$A$65:$A$148,Barèmes!$CJ$65:$CJ$148))</f>
        <v>0.20839849999999999</v>
      </c>
      <c r="L33" s="320">
        <f>K33+LOOKUP($A33,Barèmes!$A$65:$A$148,Barèmes!$AL$65:$AL$148)-LOOKUP($A33,Barèmes!$A$65:$A$148,Barèmes!$AM$65:$AM$148)+IF($A33&gt;2010,LOOKUP($A33,Barèmes!$CG$5:$CG$148,Barèmes!$CO$5:$CO$148),0)</f>
        <v>0.21003849999999999</v>
      </c>
      <c r="M33" s="320">
        <f>(LOOKUP($A33,Barèmes!$A$65:$A$148,Barèmes!$AF$65:$AF$148)-LOOKUP($A33,Barèmes!$A$65:$A$148,Barèmes!$AG$65:$AG$148))*LOOKUP($A33,Barèmes!$A$65:$A$148,Barèmes!$AI$65:$AI$148)+LOOKUP($A33,Barèmes!$A$65:$A$148,Barèmes!$AL$65:$AL$148)-LOOKUP($A33,Barèmes!$A$65:$A$148,Barèmes!$AM$65:$AM$148)+LOOKUP($A33,Barèmes!$A$65:$A$148,Barèmes!$AV$65:$AV$148)-LOOKUP($A33,Barèmes!$A$65:$A$148,Barèmes!$AW$65:$AW$148)+LOOKUP($A33,Barèmes!$A$65:$A$148,Barèmes!$CN$65:$CN$148)+LOOKUP($A33,Barèmes!$A$65:$A$148,Barèmes!$CO$65:$CO$148)</f>
        <v>9.8799999999999999E-2</v>
      </c>
      <c r="N33" s="320">
        <f>LOOKUP($A33,Barèmes!$A$65:$A$148,Barèmes!$N$65:$N$148)-LOOKUP($A33,Barèmes!$A$65:$A$148,Barèmes!O91:O174)+0.9825*LOOKUP($A33,Barèmes!$A$65:$A$148,Barèmes!$CH$65:$CH$148)+0.9825*LOOKUP($A33,Barèmes!$A$65:$A$148,Barèmes!$CJ$65:$CJ$148)+LOOKUP($A33,Barèmes!$A$65:$A$148,Barèmes!$CL$65:$CL$148)</f>
        <v>9.9302500000000002E-2</v>
      </c>
      <c r="P33" s="321">
        <f>C33/LOOKUP($A33,Barèmes!$A$65:$A$148,Barèmes!$C$65:$C$148)</f>
        <v>46878.313852340892</v>
      </c>
      <c r="Q33" s="321">
        <f>H33/LOOKUP($A33,Barèmes!$A$65:$A$148,Barèmes!$C$65:$C$148)</f>
        <v>37108.943562983834</v>
      </c>
      <c r="R33" s="321">
        <f>I33/LOOKUP($A33,Barèmes!$A$65:$A$148,Barèmes!$C$65:$C$148)</f>
        <v>38214.334203622027</v>
      </c>
      <c r="T33" s="321">
        <f>C33/LOOKUP($A33,Barèmes!$A$65:$A$148,Barèmes!$G$65:$G$148)</f>
        <v>33975.972009865443</v>
      </c>
      <c r="U33" s="321">
        <f>H33/LOOKUP($A33,Barèmes!$A$65:$A$148,Barèmes!$G$65:$G$148)</f>
        <v>26895.430406967502</v>
      </c>
      <c r="V33" s="321">
        <f>I33/LOOKUP($A33,Barèmes!$A$65:$A$148,Barèmes!$G$65:$G$148)</f>
        <v>27696.583826960126</v>
      </c>
      <c r="Y33" s="95">
        <v>1</v>
      </c>
      <c r="Z33" s="280">
        <f>IF($Y33=1,IF(I33&lt;LOOKUP($A33,Barèmes!$AB$65:$AB$148,Barèmes!$BM$65:$BM$148),LOOKUP($A33,Barèmes!$AB$65:$AB$148,Barèmes!$BQ$65:$BQ$148),IF(I33&lt;LOOKUP($A33,Barèmes!$AB$65:$AB$148,Barèmes!$BN$65:$BN$148),LOOKUP($A33,Barèmes!$AB$65:$AB$148,Barèmes!$BR$65:$BR$148),IF(I33&lt;LOOKUP($A33,Barèmes!$AB$65:$AB$148,Barèmes!$BO$65:$BO$148),LOOKUP($A33,Barèmes!$AB$65:$AB$148,Barèmes!$BS$65:$BS$148),LOOKUP($A33,Barèmes!$AB$65:$AB$148,Barèmes!$BT$65:$BT$148)))),IF($Y33=2,IF(I33&lt;LOOKUP($A33,Barèmes!$AB$65:$AB$148,Barèmes!$BW$65:$BW$148),LOOKUP($A33,Barèmes!$AB$65:$AB$148,Barèmes!$CA$65:$CA$148),IF(I33&lt;LOOKUP($A33,Barèmes!$AB$65:$AB$148,Barèmes!$BX$65:$BX$148),LOOKUP($A33,Barèmes!$AB$65:$AB$148,Barèmes!$CB$65:$CB$148),IF(I33&lt;LOOKUP($A33,Barèmes!$AB$65:$AB$148,Barèmes!$BY$65:$BY$148),LOOKUP($A33,Barèmes!$AB$65:$AB$148,Barèmes!$CC$65:$CC174),LOOKUP($A33,Barèmes!$AB$65:$AB$148,Barèmes!$CD$65:$CD$148))))))</f>
        <v>9.0999999999999998E-2</v>
      </c>
    </row>
    <row r="34" spans="1:26" x14ac:dyDescent="0.25">
      <c r="A34" s="15">
        <f>B34+Simulation!$D$4</f>
        <v>2044</v>
      </c>
      <c r="B34" s="19">
        <v>44</v>
      </c>
      <c r="C34" s="77">
        <f>IF(AND($B34&gt;=Simulation!$D$5,$B34&lt;Simulation!$D$6),IF(Simulation!$D$3=1,LOOKUP($B34,Info_cas_type!$B$5:$B$55,Info_cas_type!$C$5:$C$55)*LOOKUP($A34,Barèmes!$A$65:$A$148,Barèmes!$D$65:$D$148),IF(Simulation!$D$3=2,LOOKUP($B34,Info_cas_type!$B$5:$B$55,Info_cas_type!$D$5:$D$55)*LOOKUP($A34,Barèmes!$A$65:$A$148,Barèmes!$D$65:$D$148),IF(Simulation!$D$3="2P",LOOKUP($B34,Info_cas_type!$B$5:$B$55,Info_cas_type!$E$5:$E$55)*LOOKUP($A34,Barèmes!$A$65:$A$148,Barèmes!$D$65:$D$148),IF(Simulation!$D$3="2M",LOOKUP($B34,Info_cas_type!$B$5:$B$55,Info_cas_type!$F$5:$F$55)*LOOKUP($A34,Barèmes!$A$65:$A$148,Barèmes!$D$65:$D$148),IF(Simulation!$D$3="SMIC",LOOKUP($A34,Barèmes!$A$65:$A$148,Barèmes!$F$65:$F$148),LOOKUP($B34,Info_cas_type!$B$5:$B$55,Info_cas_type!$G$5:$G$55)*LOOKUP($A34,Barèmes!$A$65:$A$148,Barèmes!$D$65:$D$148)))))),0)*LOOKUP($B34,Info_cas_type!$B$5:$B$55,Info_cas_type!$H$5:$H$55)</f>
        <v>69568.246187926154</v>
      </c>
      <c r="D34" s="56">
        <f>MIN($C34,LOOKUP($A34,Barèmes!$A$65:$A$148,Barèmes!$V$65:$V$148))</f>
        <v>69568.246187926154</v>
      </c>
      <c r="E34" s="56">
        <f>MIN(F34,7*LOOKUP($A34,Barèmes!$A$65:$A$148,Barèmes!$V$65:$V$148))</f>
        <v>0</v>
      </c>
      <c r="F34" s="56">
        <f>IF($C34&gt;LOOKUP($A34,Barèmes!$A$65:$A$148,Barèmes!$V$65:$V$148),($C34-LOOKUP($A34,Barèmes!$A$65:$A$148,Barèmes!$V$65:$V$148)),0)</f>
        <v>0</v>
      </c>
      <c r="H34" s="81">
        <f t="shared" si="0"/>
        <v>55070.328034731632</v>
      </c>
      <c r="I34" s="56">
        <f>H34+LOOKUP($A34,Barèmes!$A$5:$A$148,Barèmes!$CK$5:$CK$148)*C34*(LOOKUP($A34,Barèmes!$CG$65:$CG$148,Barèmes!$CH$65:$CH$148)-LOOKUP($A34,Barèmes!$CG$65:$CG$148,Barèmes!$CI$65:$CI$148))</f>
        <v>56710.74727984293</v>
      </c>
      <c r="K34" s="320">
        <f>LOOKUP($A34,Barèmes!$A$65:$A$148,Barèmes!$K$65:$K$148)-LOOKUP($A34,Barèmes!$A$65:$A$148,Barèmes!$L$65:$L$148)+(LOOKUP($A34,Barèmes!$A$65:$A$148,Barèmes!$AC$65:$AC$148)-LOOKUP($A34,Barèmes!$A$65:$A$148,Barèmes!$AD$65:$AD$148))*LOOKUP($A34,Barèmes!$A$65:$A$148,Barèmes!$AI$65:$AI$148)+LOOKUP($A34,Barèmes!$A$65:$A$148,Barèmes!$AQ$65:$AQ$148)-LOOKUP($A34,Barèmes!$A$65:$A$148,Barèmes!$AR$65:$AR$148)+LOOKUP($A34,Barèmes!$A$65:$A$148,Barèmes!$CL$65:$CL$148)+LOOKUP($A34,Barèmes!$A$65:$A$148,Barèmes!$CM$65:$CM$148)+LOOKUP($A34,Barèmes!$A$5:$A$148,Barèmes!$CK$5:$CK$148)*(LOOKUP($A34,Barèmes!$A$65:$A$148,Barèmes!$CH$65:$CH$148)+LOOKUP($A34,Barèmes!$A$65:$A$148,Barèmes!$CJ$65:$CJ$148))</f>
        <v>0.20839849999999999</v>
      </c>
      <c r="L34" s="320">
        <f>K34+LOOKUP($A34,Barèmes!$A$65:$A$148,Barèmes!$AL$65:$AL$148)-LOOKUP($A34,Barèmes!$A$65:$A$148,Barèmes!$AM$65:$AM$148)+IF($A34&gt;2010,LOOKUP($A34,Barèmes!$CG$5:$CG$148,Barèmes!$CO$5:$CO$148),0)</f>
        <v>0.21003849999999999</v>
      </c>
      <c r="M34" s="320">
        <f>(LOOKUP($A34,Barèmes!$A$65:$A$148,Barèmes!$AF$65:$AF$148)-LOOKUP($A34,Barèmes!$A$65:$A$148,Barèmes!$AG$65:$AG$148))*LOOKUP($A34,Barèmes!$A$65:$A$148,Barèmes!$AI$65:$AI$148)+LOOKUP($A34,Barèmes!$A$65:$A$148,Barèmes!$AL$65:$AL$148)-LOOKUP($A34,Barèmes!$A$65:$A$148,Barèmes!$AM$65:$AM$148)+LOOKUP($A34,Barèmes!$A$65:$A$148,Barèmes!$AV$65:$AV$148)-LOOKUP($A34,Barèmes!$A$65:$A$148,Barèmes!$AW$65:$AW$148)+LOOKUP($A34,Barèmes!$A$65:$A$148,Barèmes!$CN$65:$CN$148)+LOOKUP($A34,Barèmes!$A$65:$A$148,Barèmes!$CO$65:$CO$148)</f>
        <v>9.8799999999999999E-2</v>
      </c>
      <c r="N34" s="320">
        <f>LOOKUP($A34,Barèmes!$A$65:$A$148,Barèmes!$N$65:$N$148)-LOOKUP($A34,Barèmes!$A$65:$A$148,Barèmes!O92:O175)+0.9825*LOOKUP($A34,Barèmes!$A$65:$A$148,Barèmes!$CH$65:$CH$148)+0.9825*LOOKUP($A34,Barèmes!$A$65:$A$148,Barèmes!$CJ$65:$CJ$148)+LOOKUP($A34,Barèmes!$A$65:$A$148,Barèmes!$CL$65:$CL$148)</f>
        <v>9.9302500000000002E-2</v>
      </c>
      <c r="P34" s="321">
        <f>C34/LOOKUP($A34,Barèmes!$A$65:$A$148,Barèmes!$C$65:$C$148)</f>
        <v>47491.469745203933</v>
      </c>
      <c r="Q34" s="321">
        <f>H34/LOOKUP($A34,Barèmes!$A$65:$A$148,Barèmes!$C$65:$C$148)</f>
        <v>37594.318687508057</v>
      </c>
      <c r="R34" s="321">
        <f>I34/LOOKUP($A34,Barèmes!$A$65:$A$148,Barèmes!$C$65:$C$148)</f>
        <v>38714.167544099961</v>
      </c>
      <c r="T34" s="321">
        <f>C34/LOOKUP($A34,Barèmes!$A$65:$A$148,Barèmes!$G$65:$G$148)</f>
        <v>33978.646296829938</v>
      </c>
      <c r="U34" s="321">
        <f>H34/LOOKUP($A34,Barèmes!$A$65:$A$148,Barèmes!$G$65:$G$148)</f>
        <v>26897.547376540027</v>
      </c>
      <c r="V34" s="321">
        <f>I34/LOOKUP($A34,Barèmes!$A$65:$A$148,Barèmes!$G$65:$G$148)</f>
        <v>27698.763856219277</v>
      </c>
      <c r="Y34" s="95">
        <v>1</v>
      </c>
      <c r="Z34" s="280">
        <f>IF($Y34=1,IF(I34&lt;LOOKUP($A34,Barèmes!$AB$65:$AB$148,Barèmes!$BM$65:$BM$148),LOOKUP($A34,Barèmes!$AB$65:$AB$148,Barèmes!$BQ$65:$BQ$148),IF(I34&lt;LOOKUP($A34,Barèmes!$AB$65:$AB$148,Barèmes!$BN$65:$BN$148),LOOKUP($A34,Barèmes!$AB$65:$AB$148,Barèmes!$BR$65:$BR$148),IF(I34&lt;LOOKUP($A34,Barèmes!$AB$65:$AB$148,Barèmes!$BO$65:$BO$148),LOOKUP($A34,Barèmes!$AB$65:$AB$148,Barèmes!$BS$65:$BS$148),LOOKUP($A34,Barèmes!$AB$65:$AB$148,Barèmes!$BT$65:$BT$148)))),IF($Y34=2,IF(I34&lt;LOOKUP($A34,Barèmes!$AB$65:$AB$148,Barèmes!$BW$65:$BW$148),LOOKUP($A34,Barèmes!$AB$65:$AB$148,Barèmes!$CA$65:$CA$148),IF(I34&lt;LOOKUP($A34,Barèmes!$AB$65:$AB$148,Barèmes!$BX$65:$BX$148),LOOKUP($A34,Barèmes!$AB$65:$AB$148,Barèmes!$CB$65:$CB$148),IF(I34&lt;LOOKUP($A34,Barèmes!$AB$65:$AB$148,Barèmes!$BY$65:$BY$148),LOOKUP($A34,Barèmes!$AB$65:$AB$148,Barèmes!$CC$65:$CC175),LOOKUP($A34,Barèmes!$AB$65:$AB$148,Barèmes!$CD$65:$CD$148))))))</f>
        <v>9.0999999999999998E-2</v>
      </c>
    </row>
    <row r="35" spans="1:26" x14ac:dyDescent="0.25">
      <c r="A35" s="15">
        <f>B35+Simulation!$D$4</f>
        <v>2045</v>
      </c>
      <c r="B35" s="19">
        <v>45</v>
      </c>
      <c r="C35" s="77">
        <f>IF(AND($B35&gt;=Simulation!$D$5,$B35&lt;Simulation!$D$6),IF(Simulation!$D$3=1,LOOKUP($B35,Info_cas_type!$B$5:$B$55,Info_cas_type!$C$5:$C$55)*LOOKUP($A35,Barèmes!$A$65:$A$148,Barèmes!$D$65:$D$148),IF(Simulation!$D$3=2,LOOKUP($B35,Info_cas_type!$B$5:$B$55,Info_cas_type!$D$5:$D$55)*LOOKUP($A35,Barèmes!$A$65:$A$148,Barèmes!$D$65:$D$148),IF(Simulation!$D$3="2P",LOOKUP($B35,Info_cas_type!$B$5:$B$55,Info_cas_type!$E$5:$E$55)*LOOKUP($A35,Barèmes!$A$65:$A$148,Barèmes!$D$65:$D$148),IF(Simulation!$D$3="2M",LOOKUP($B35,Info_cas_type!$B$5:$B$55,Info_cas_type!$F$5:$F$55)*LOOKUP($A35,Barèmes!$A$65:$A$148,Barèmes!$D$65:$D$148),IF(Simulation!$D$3="SMIC",LOOKUP($A35,Barèmes!$A$65:$A$148,Barèmes!$F$65:$F$148),LOOKUP($B35,Info_cas_type!$B$5:$B$55,Info_cas_type!$G$5:$G$55)*LOOKUP($A35,Barèmes!$A$65:$A$148,Barèmes!$D$65:$D$148)))))),0)*LOOKUP($B35,Info_cas_type!$B$5:$B$55,Info_cas_type!$H$5:$H$55)</f>
        <v>71897.871277343394</v>
      </c>
      <c r="D35" s="56">
        <f>MIN($C35,LOOKUP($A35,Barèmes!$A$65:$A$148,Barèmes!$V$65:$V$148))</f>
        <v>71897.871277343394</v>
      </c>
      <c r="E35" s="56">
        <f>MIN(F35,7*LOOKUP($A35,Barèmes!$A$65:$A$148,Barèmes!$V$65:$V$148))</f>
        <v>0</v>
      </c>
      <c r="F35" s="56">
        <f>IF($C35&gt;LOOKUP($A35,Barèmes!$A$65:$A$148,Barèmes!$V$65:$V$148),($C35-LOOKUP($A35,Barèmes!$A$65:$A$148,Barèmes!$V$65:$V$148)),0)</f>
        <v>0</v>
      </c>
      <c r="H35" s="81">
        <f t="shared" si="0"/>
        <v>56914.462749951956</v>
      </c>
      <c r="I35" s="56">
        <f>H35+LOOKUP($A35,Barèmes!$A$5:$A$148,Barèmes!$CK$5:$CK$148)*C35*(LOOKUP($A35,Barèmes!$CG$65:$CG$148,Barèmes!$CH$65:$CH$148)-LOOKUP($A35,Barèmes!$CG$65:$CG$148,Barèmes!$CI$65:$CI$148))</f>
        <v>58609.814554671713</v>
      </c>
      <c r="K35" s="320">
        <f>LOOKUP($A35,Barèmes!$A$65:$A$148,Barèmes!$K$65:$K$148)-LOOKUP($A35,Barèmes!$A$65:$A$148,Barèmes!$L$65:$L$148)+(LOOKUP($A35,Barèmes!$A$65:$A$148,Barèmes!$AC$65:$AC$148)-LOOKUP($A35,Barèmes!$A$65:$A$148,Barèmes!$AD$65:$AD$148))*LOOKUP($A35,Barèmes!$A$65:$A$148,Barèmes!$AI$65:$AI$148)+LOOKUP($A35,Barèmes!$A$65:$A$148,Barèmes!$AQ$65:$AQ$148)-LOOKUP($A35,Barèmes!$A$65:$A$148,Barèmes!$AR$65:$AR$148)+LOOKUP($A35,Barèmes!$A$65:$A$148,Barèmes!$CL$65:$CL$148)+LOOKUP($A35,Barèmes!$A$65:$A$148,Barèmes!$CM$65:$CM$148)+LOOKUP($A35,Barèmes!$A$5:$A$148,Barèmes!$CK$5:$CK$148)*(LOOKUP($A35,Barèmes!$A$65:$A$148,Barèmes!$CH$65:$CH$148)+LOOKUP($A35,Barèmes!$A$65:$A$148,Barèmes!$CJ$65:$CJ$148))</f>
        <v>0.20839849999999999</v>
      </c>
      <c r="L35" s="320">
        <f>K35+LOOKUP($A35,Barèmes!$A$65:$A$148,Barèmes!$AL$65:$AL$148)-LOOKUP($A35,Barèmes!$A$65:$A$148,Barèmes!$AM$65:$AM$148)+IF($A35&gt;2010,LOOKUP($A35,Barèmes!$CG$5:$CG$148,Barèmes!$CO$5:$CO$148),0)</f>
        <v>0.21003849999999999</v>
      </c>
      <c r="M35" s="320">
        <f>(LOOKUP($A35,Barèmes!$A$65:$A$148,Barèmes!$AF$65:$AF$148)-LOOKUP($A35,Barèmes!$A$65:$A$148,Barèmes!$AG$65:$AG$148))*LOOKUP($A35,Barèmes!$A$65:$A$148,Barèmes!$AI$65:$AI$148)+LOOKUP($A35,Barèmes!$A$65:$A$148,Barèmes!$AL$65:$AL$148)-LOOKUP($A35,Barèmes!$A$65:$A$148,Barèmes!$AM$65:$AM$148)+LOOKUP($A35,Barèmes!$A$65:$A$148,Barèmes!$AV$65:$AV$148)-LOOKUP($A35,Barèmes!$A$65:$A$148,Barèmes!$AW$65:$AW$148)+LOOKUP($A35,Barèmes!$A$65:$A$148,Barèmes!$CN$65:$CN$148)+LOOKUP($A35,Barèmes!$A$65:$A$148,Barèmes!$CO$65:$CO$148)</f>
        <v>9.8799999999999999E-2</v>
      </c>
      <c r="N35" s="320">
        <f>LOOKUP($A35,Barèmes!$A$65:$A$148,Barèmes!$N$65:$N$148)-LOOKUP($A35,Barèmes!$A$65:$A$148,Barèmes!O93:O176)+0.9825*LOOKUP($A35,Barèmes!$A$65:$A$148,Barèmes!$CH$65:$CH$148)+0.9825*LOOKUP($A35,Barèmes!$A$65:$A$148,Barèmes!$CJ$65:$CJ$148)+LOOKUP($A35,Barèmes!$A$65:$A$148,Barèmes!$CL$65:$CL$148)</f>
        <v>9.9302500000000002E-2</v>
      </c>
      <c r="P35" s="321">
        <f>C35/LOOKUP($A35,Barèmes!$A$65:$A$148,Barèmes!$C$65:$C$148)</f>
        <v>48237.653042250204</v>
      </c>
      <c r="Q35" s="321">
        <f>H35/LOOKUP($A35,Barèmes!$A$65:$A$148,Barèmes!$C$65:$C$148)</f>
        <v>38184.998504724834</v>
      </c>
      <c r="R35" s="321">
        <f>I35/LOOKUP($A35,Barèmes!$A$65:$A$148,Barèmes!$C$65:$C$148)</f>
        <v>39322.442363461094</v>
      </c>
      <c r="T35" s="321">
        <f>C35/LOOKUP($A35,Barèmes!$A$65:$A$148,Barèmes!$G$65:$G$148)</f>
        <v>34069.611918208633</v>
      </c>
      <c r="U35" s="321">
        <f>H35/LOOKUP($A35,Barèmes!$A$65:$A$148,Barèmes!$G$65:$G$148)</f>
        <v>26969.555898871833</v>
      </c>
      <c r="V35" s="321">
        <f>I35/LOOKUP($A35,Barèmes!$A$65:$A$148,Barèmes!$G$65:$G$148)</f>
        <v>27772.917347903192</v>
      </c>
      <c r="Y35" s="95">
        <v>1</v>
      </c>
      <c r="Z35" s="280">
        <f>IF($Y35=1,IF(I35&lt;LOOKUP($A35,Barèmes!$AB$65:$AB$148,Barèmes!$BM$65:$BM$148),LOOKUP($A35,Barèmes!$AB$65:$AB$148,Barèmes!$BQ$65:$BQ$148),IF(I35&lt;LOOKUP($A35,Barèmes!$AB$65:$AB$148,Barèmes!$BN$65:$BN$148),LOOKUP($A35,Barèmes!$AB$65:$AB$148,Barèmes!$BR$65:$BR$148),IF(I35&lt;LOOKUP($A35,Barèmes!$AB$65:$AB$148,Barèmes!$BO$65:$BO$148),LOOKUP($A35,Barèmes!$AB$65:$AB$148,Barèmes!$BS$65:$BS$148),LOOKUP($A35,Barèmes!$AB$65:$AB$148,Barèmes!$BT$65:$BT$148)))),IF($Y35=2,IF(I35&lt;LOOKUP($A35,Barèmes!$AB$65:$AB$148,Barèmes!$BW$65:$BW$148),LOOKUP($A35,Barèmes!$AB$65:$AB$148,Barèmes!$CA$65:$CA$148),IF(I35&lt;LOOKUP($A35,Barèmes!$AB$65:$AB$148,Barèmes!$BX$65:$BX$148),LOOKUP($A35,Barèmes!$AB$65:$AB$148,Barèmes!$CB$65:$CB$148),IF(I35&lt;LOOKUP($A35,Barèmes!$AB$65:$AB$148,Barèmes!$BY$65:$BY$148),LOOKUP($A35,Barèmes!$AB$65:$AB$148,Barèmes!$CC$65:$CC176),LOOKUP($A35,Barèmes!$AB$65:$AB$148,Barèmes!$CD$65:$CD$148))))))</f>
        <v>9.0999999999999998E-2</v>
      </c>
    </row>
    <row r="36" spans="1:26" x14ac:dyDescent="0.25">
      <c r="A36" s="15">
        <f>B36+Simulation!$D$4</f>
        <v>2046</v>
      </c>
      <c r="B36" s="19">
        <v>46</v>
      </c>
      <c r="C36" s="77">
        <f>IF(AND($B36&gt;=Simulation!$D$5,$B36&lt;Simulation!$D$6),IF(Simulation!$D$3=1,LOOKUP($B36,Info_cas_type!$B$5:$B$55,Info_cas_type!$C$5:$C$55)*LOOKUP($A36,Barèmes!$A$65:$A$148,Barèmes!$D$65:$D$148),IF(Simulation!$D$3=2,LOOKUP($B36,Info_cas_type!$B$5:$B$55,Info_cas_type!$D$5:$D$55)*LOOKUP($A36,Barèmes!$A$65:$A$148,Barèmes!$D$65:$D$148),IF(Simulation!$D$3="2P",LOOKUP($B36,Info_cas_type!$B$5:$B$55,Info_cas_type!$E$5:$E$55)*LOOKUP($A36,Barèmes!$A$65:$A$148,Barèmes!$D$65:$D$148),IF(Simulation!$D$3="2M",LOOKUP($B36,Info_cas_type!$B$5:$B$55,Info_cas_type!$F$5:$F$55)*LOOKUP($A36,Barèmes!$A$65:$A$148,Barèmes!$D$65:$D$148),IF(Simulation!$D$3="SMIC",LOOKUP($A36,Barèmes!$A$65:$A$148,Barèmes!$F$65:$F$148),LOOKUP($B36,Info_cas_type!$B$5:$B$55,Info_cas_type!$G$5:$G$55)*LOOKUP($A36,Barèmes!$A$65:$A$148,Barèmes!$D$65:$D$148)))))),0)*LOOKUP($B36,Info_cas_type!$B$5:$B$55,Info_cas_type!$H$5:$H$55)</f>
        <v>74373.084030682789</v>
      </c>
      <c r="D36" s="56">
        <f>MIN($C36,LOOKUP($A36,Barèmes!$A$65:$A$148,Barèmes!$V$65:$V$148))</f>
        <v>74373.084030682789</v>
      </c>
      <c r="E36" s="56">
        <f>MIN(F36,7*LOOKUP($A36,Barèmes!$A$65:$A$148,Barèmes!$V$65:$V$148))</f>
        <v>0</v>
      </c>
      <c r="F36" s="56">
        <f>IF($C36&gt;LOOKUP($A36,Barèmes!$A$65:$A$148,Barèmes!$V$65:$V$148),($C36-LOOKUP($A36,Barèmes!$A$65:$A$148,Barèmes!$V$65:$V$148)),0)</f>
        <v>0</v>
      </c>
      <c r="H36" s="81">
        <f t="shared" si="0"/>
        <v>58873.844878314543</v>
      </c>
      <c r="I36" s="56">
        <f>H36+LOOKUP($A36,Barèmes!$A$5:$A$148,Barèmes!$CK$5:$CK$148)*C36*(LOOKUP($A36,Barèmes!$CG$65:$CG$148,Barèmes!$CH$65:$CH$148)-LOOKUP($A36,Barèmes!$CG$65:$CG$148,Barèmes!$CI$65:$CI$148))</f>
        <v>60627.562199758046</v>
      </c>
      <c r="K36" s="320">
        <f>LOOKUP($A36,Barèmes!$A$65:$A$148,Barèmes!$K$65:$K$148)-LOOKUP($A36,Barèmes!$A$65:$A$148,Barèmes!$L$65:$L$148)+(LOOKUP($A36,Barèmes!$A$65:$A$148,Barèmes!$AC$65:$AC$148)-LOOKUP($A36,Barèmes!$A$65:$A$148,Barèmes!$AD$65:$AD$148))*LOOKUP($A36,Barèmes!$A$65:$A$148,Barèmes!$AI$65:$AI$148)+LOOKUP($A36,Barèmes!$A$65:$A$148,Barèmes!$AQ$65:$AQ$148)-LOOKUP($A36,Barèmes!$A$65:$A$148,Barèmes!$AR$65:$AR$148)+LOOKUP($A36,Barèmes!$A$65:$A$148,Barèmes!$CL$65:$CL$148)+LOOKUP($A36,Barèmes!$A$65:$A$148,Barèmes!$CM$65:$CM$148)+LOOKUP($A36,Barèmes!$A$5:$A$148,Barèmes!$CK$5:$CK$148)*(LOOKUP($A36,Barèmes!$A$65:$A$148,Barèmes!$CH$65:$CH$148)+LOOKUP($A36,Barèmes!$A$65:$A$148,Barèmes!$CJ$65:$CJ$148))</f>
        <v>0.20839849999999999</v>
      </c>
      <c r="L36" s="320">
        <f>K36+LOOKUP($A36,Barèmes!$A$65:$A$148,Barèmes!$AL$65:$AL$148)-LOOKUP($A36,Barèmes!$A$65:$A$148,Barèmes!$AM$65:$AM$148)+IF($A36&gt;2010,LOOKUP($A36,Barèmes!$CG$5:$CG$148,Barèmes!$CO$5:$CO$148),0)</f>
        <v>0.21003849999999999</v>
      </c>
      <c r="M36" s="320">
        <f>(LOOKUP($A36,Barèmes!$A$65:$A$148,Barèmes!$AF$65:$AF$148)-LOOKUP($A36,Barèmes!$A$65:$A$148,Barèmes!$AG$65:$AG$148))*LOOKUP($A36,Barèmes!$A$65:$A$148,Barèmes!$AI$65:$AI$148)+LOOKUP($A36,Barèmes!$A$65:$A$148,Barèmes!$AL$65:$AL$148)-LOOKUP($A36,Barèmes!$A$65:$A$148,Barèmes!$AM$65:$AM$148)+LOOKUP($A36,Barèmes!$A$65:$A$148,Barèmes!$AV$65:$AV$148)-LOOKUP($A36,Barèmes!$A$65:$A$148,Barèmes!$AW$65:$AW$148)+LOOKUP($A36,Barèmes!$A$65:$A$148,Barèmes!$CN$65:$CN$148)+LOOKUP($A36,Barèmes!$A$65:$A$148,Barèmes!$CO$65:$CO$148)</f>
        <v>9.8799999999999999E-2</v>
      </c>
      <c r="N36" s="320">
        <f>LOOKUP($A36,Barèmes!$A$65:$A$148,Barèmes!$N$65:$N$148)-LOOKUP($A36,Barèmes!$A$65:$A$148,Barèmes!O94:O177)+0.9825*LOOKUP($A36,Barèmes!$A$65:$A$148,Barèmes!$CH$65:$CH$148)+0.9825*LOOKUP($A36,Barèmes!$A$65:$A$148,Barèmes!$CJ$65:$CJ$148)+LOOKUP($A36,Barèmes!$A$65:$A$148,Barèmes!$CL$65:$CL$148)</f>
        <v>9.9302500000000002E-2</v>
      </c>
      <c r="P36" s="321">
        <f>C36/LOOKUP($A36,Barèmes!$A$65:$A$148,Barèmes!$C$65:$C$148)</f>
        <v>49040.118412339521</v>
      </c>
      <c r="Q36" s="321">
        <f>H36/LOOKUP($A36,Barèmes!$A$65:$A$148,Barèmes!$C$65:$C$148)</f>
        <v>38820.23129538558</v>
      </c>
      <c r="R36" s="321">
        <f>I36/LOOKUP($A36,Barèmes!$A$65:$A$148,Barèmes!$C$65:$C$148)</f>
        <v>39976.597287548553</v>
      </c>
      <c r="T36" s="321">
        <f>C36/LOOKUP($A36,Barèmes!$A$65:$A$148,Barèmes!$G$65:$G$148)</f>
        <v>34191.887978210907</v>
      </c>
      <c r="U36" s="321">
        <f>H36/LOOKUP($A36,Barèmes!$A$65:$A$148,Barèmes!$G$65:$G$148)</f>
        <v>27066.349811383723</v>
      </c>
      <c r="V36" s="321">
        <f>I36/LOOKUP($A36,Barèmes!$A$65:$A$148,Barèmes!$G$65:$G$148)</f>
        <v>27872.594529909937</v>
      </c>
      <c r="Y36" s="95">
        <v>1</v>
      </c>
      <c r="Z36" s="280">
        <f>IF($Y36=1,IF(I36&lt;LOOKUP($A36,Barèmes!$AB$65:$AB$148,Barèmes!$BM$65:$BM$148),LOOKUP($A36,Barèmes!$AB$65:$AB$148,Barèmes!$BQ$65:$BQ$148),IF(I36&lt;LOOKUP($A36,Barèmes!$AB$65:$AB$148,Barèmes!$BN$65:$BN$148),LOOKUP($A36,Barèmes!$AB$65:$AB$148,Barèmes!$BR$65:$BR$148),IF(I36&lt;LOOKUP($A36,Barèmes!$AB$65:$AB$148,Barèmes!$BO$65:$BO$148),LOOKUP($A36,Barèmes!$AB$65:$AB$148,Barèmes!$BS$65:$BS$148),LOOKUP($A36,Barèmes!$AB$65:$AB$148,Barèmes!$BT$65:$BT$148)))),IF($Y36=2,IF(I36&lt;LOOKUP($A36,Barèmes!$AB$65:$AB$148,Barèmes!$BW$65:$BW$148),LOOKUP($A36,Barèmes!$AB$65:$AB$148,Barèmes!$CA$65:$CA$148),IF(I36&lt;LOOKUP($A36,Barèmes!$AB$65:$AB$148,Barèmes!$BX$65:$BX$148),LOOKUP($A36,Barèmes!$AB$65:$AB$148,Barèmes!$CB$65:$CB$148),IF(I36&lt;LOOKUP($A36,Barèmes!$AB$65:$AB$148,Barèmes!$BY$65:$BY$148),LOOKUP($A36,Barèmes!$AB$65:$AB$148,Barèmes!$CC$65:$CC177),LOOKUP($A36,Barèmes!$AB$65:$AB$148,Barèmes!$CD$65:$CD$148))))))</f>
        <v>9.0999999999999998E-2</v>
      </c>
    </row>
    <row r="37" spans="1:26" x14ac:dyDescent="0.25">
      <c r="A37" s="15">
        <f>B37+Simulation!$D$4</f>
        <v>2047</v>
      </c>
      <c r="B37" s="19">
        <v>47</v>
      </c>
      <c r="C37" s="77">
        <f>IF(AND($B37&gt;=Simulation!$D$5,$B37&lt;Simulation!$D$6),IF(Simulation!$D$3=1,LOOKUP($B37,Info_cas_type!$B$5:$B$55,Info_cas_type!$C$5:$C$55)*LOOKUP($A37,Barèmes!$A$65:$A$148,Barèmes!$D$65:$D$148),IF(Simulation!$D$3=2,LOOKUP($B37,Info_cas_type!$B$5:$B$55,Info_cas_type!$D$5:$D$55)*LOOKUP($A37,Barèmes!$A$65:$A$148,Barèmes!$D$65:$D$148),IF(Simulation!$D$3="2P",LOOKUP($B37,Info_cas_type!$B$5:$B$55,Info_cas_type!$E$5:$E$55)*LOOKUP($A37,Barèmes!$A$65:$A$148,Barèmes!$D$65:$D$148),IF(Simulation!$D$3="2M",LOOKUP($B37,Info_cas_type!$B$5:$B$55,Info_cas_type!$F$5:$F$55)*LOOKUP($A37,Barèmes!$A$65:$A$148,Barèmes!$D$65:$D$148),IF(Simulation!$D$3="SMIC",LOOKUP($A37,Barèmes!$A$65:$A$148,Barèmes!$F$65:$F$148),LOOKUP($B37,Info_cas_type!$B$5:$B$55,Info_cas_type!$G$5:$G$55)*LOOKUP($A37,Barèmes!$A$65:$A$148,Barèmes!$D$65:$D$148)))))),0)*LOOKUP($B37,Info_cas_type!$B$5:$B$55,Info_cas_type!$H$5:$H$55)</f>
        <v>77023.924237480285</v>
      </c>
      <c r="D37" s="56">
        <f>MIN($C37,LOOKUP($A37,Barèmes!$A$65:$A$148,Barèmes!$V$65:$V$148))</f>
        <v>77023.924237480285</v>
      </c>
      <c r="E37" s="56">
        <f>MIN(F37,7*LOOKUP($A37,Barèmes!$A$65:$A$148,Barèmes!$V$65:$V$148))</f>
        <v>0</v>
      </c>
      <c r="F37" s="56">
        <f>IF($C37&gt;LOOKUP($A37,Barèmes!$A$65:$A$148,Barèmes!$V$65:$V$148),($C37-LOOKUP($A37,Barèmes!$A$65:$A$148,Barèmes!$V$65:$V$148)),0)</f>
        <v>0</v>
      </c>
      <c r="H37" s="81">
        <f t="shared" si="0"/>
        <v>60972.253962275754</v>
      </c>
      <c r="I37" s="56">
        <f>H37+LOOKUP($A37,Barèmes!$A$5:$A$148,Barèmes!$CK$5:$CK$148)*C37*(LOOKUP($A37,Barèmes!$CG$65:$CG$148,Barèmes!$CH$65:$CH$148)-LOOKUP($A37,Barèmes!$CG$65:$CG$148,Barèmes!$CI$65:$CI$148))</f>
        <v>62788.478095795537</v>
      </c>
      <c r="K37" s="320">
        <f>LOOKUP($A37,Barèmes!$A$65:$A$148,Barèmes!$K$65:$K$148)-LOOKUP($A37,Barèmes!$A$65:$A$148,Barèmes!$L$65:$L$148)+(LOOKUP($A37,Barèmes!$A$65:$A$148,Barèmes!$AC$65:$AC$148)-LOOKUP($A37,Barèmes!$A$65:$A$148,Barèmes!$AD$65:$AD$148))*LOOKUP($A37,Barèmes!$A$65:$A$148,Barèmes!$AI$65:$AI$148)+LOOKUP($A37,Barèmes!$A$65:$A$148,Barèmes!$AQ$65:$AQ$148)-LOOKUP($A37,Barèmes!$A$65:$A$148,Barèmes!$AR$65:$AR$148)+LOOKUP($A37,Barèmes!$A$65:$A$148,Barèmes!$CL$65:$CL$148)+LOOKUP($A37,Barèmes!$A$65:$A$148,Barèmes!$CM$65:$CM$148)+LOOKUP($A37,Barèmes!$A$5:$A$148,Barèmes!$CK$5:$CK$148)*(LOOKUP($A37,Barèmes!$A$65:$A$148,Barèmes!$CH$65:$CH$148)+LOOKUP($A37,Barèmes!$A$65:$A$148,Barèmes!$CJ$65:$CJ$148))</f>
        <v>0.20839849999999999</v>
      </c>
      <c r="L37" s="320">
        <f>K37+LOOKUP($A37,Barèmes!$A$65:$A$148,Barèmes!$AL$65:$AL$148)-LOOKUP($A37,Barèmes!$A$65:$A$148,Barèmes!$AM$65:$AM$148)+IF($A37&gt;2010,LOOKUP($A37,Barèmes!$CG$5:$CG$148,Barèmes!$CO$5:$CO$148),0)</f>
        <v>0.21003849999999999</v>
      </c>
      <c r="M37" s="320">
        <f>(LOOKUP($A37,Barèmes!$A$65:$A$148,Barèmes!$AF$65:$AF$148)-LOOKUP($A37,Barèmes!$A$65:$A$148,Barèmes!$AG$65:$AG$148))*LOOKUP($A37,Barèmes!$A$65:$A$148,Barèmes!$AI$65:$AI$148)+LOOKUP($A37,Barèmes!$A$65:$A$148,Barèmes!$AL$65:$AL$148)-LOOKUP($A37,Barèmes!$A$65:$A$148,Barèmes!$AM$65:$AM$148)+LOOKUP($A37,Barèmes!$A$65:$A$148,Barèmes!$AV$65:$AV$148)-LOOKUP($A37,Barèmes!$A$65:$A$148,Barèmes!$AW$65:$AW$148)+LOOKUP($A37,Barèmes!$A$65:$A$148,Barèmes!$CN$65:$CN$148)+LOOKUP($A37,Barèmes!$A$65:$A$148,Barèmes!$CO$65:$CO$148)</f>
        <v>9.8799999999999999E-2</v>
      </c>
      <c r="N37" s="320">
        <f>LOOKUP($A37,Barèmes!$A$65:$A$148,Barèmes!$N$65:$N$148)-LOOKUP($A37,Barèmes!$A$65:$A$148,Barèmes!O95:O178)+0.9825*LOOKUP($A37,Barèmes!$A$65:$A$148,Barèmes!$CH$65:$CH$148)+0.9825*LOOKUP($A37,Barèmes!$A$65:$A$148,Barèmes!$CJ$65:$CJ$148)+LOOKUP($A37,Barèmes!$A$65:$A$148,Barèmes!$CL$65:$CL$148)</f>
        <v>9.9302500000000002E-2</v>
      </c>
      <c r="P37" s="321">
        <f>C37/LOOKUP($A37,Barèmes!$A$65:$A$148,Barèmes!$C$65:$C$148)</f>
        <v>49914.525035340688</v>
      </c>
      <c r="Q37" s="321">
        <f>H37/LOOKUP($A37,Barèmes!$A$65:$A$148,Barèmes!$C$65:$C$148)</f>
        <v>39512.412889763247</v>
      </c>
      <c r="R37" s="321">
        <f>I37/LOOKUP($A37,Barèmes!$A$65:$A$148,Barèmes!$C$65:$C$148)</f>
        <v>40689.397390096579</v>
      </c>
      <c r="T37" s="321">
        <f>C37/LOOKUP($A37,Barèmes!$A$65:$A$148,Barèmes!$G$65:$G$148)</f>
        <v>34354.930108461631</v>
      </c>
      <c r="U37" s="321">
        <f>H37/LOOKUP($A37,Barèmes!$A$65:$A$148,Barèmes!$G$65:$G$148)</f>
        <v>27195.414206253394</v>
      </c>
      <c r="V37" s="321">
        <f>I37/LOOKUP($A37,Barèmes!$A$65:$A$148,Barèmes!$G$65:$G$148)</f>
        <v>28005.503458210918</v>
      </c>
      <c r="Y37" s="95">
        <v>1</v>
      </c>
      <c r="Z37" s="280">
        <f>IF($Y37=1,IF(I37&lt;LOOKUP($A37,Barèmes!$AB$65:$AB$148,Barèmes!$BM$65:$BM$148),LOOKUP($A37,Barèmes!$AB$65:$AB$148,Barèmes!$BQ$65:$BQ$148),IF(I37&lt;LOOKUP($A37,Barèmes!$AB$65:$AB$148,Barèmes!$BN$65:$BN$148),LOOKUP($A37,Barèmes!$AB$65:$AB$148,Barèmes!$BR$65:$BR$148),IF(I37&lt;LOOKUP($A37,Barèmes!$AB$65:$AB$148,Barèmes!$BO$65:$BO$148),LOOKUP($A37,Barèmes!$AB$65:$AB$148,Barèmes!$BS$65:$BS$148),LOOKUP($A37,Barèmes!$AB$65:$AB$148,Barèmes!$BT$65:$BT$148)))),IF($Y37=2,IF(I37&lt;LOOKUP($A37,Barèmes!$AB$65:$AB$148,Barèmes!$BW$65:$BW$148),LOOKUP($A37,Barèmes!$AB$65:$AB$148,Barèmes!$CA$65:$CA$148),IF(I37&lt;LOOKUP($A37,Barèmes!$AB$65:$AB$148,Barèmes!$BX$65:$BX$148),LOOKUP($A37,Barèmes!$AB$65:$AB$148,Barèmes!$CB$65:$CB$148),IF(I37&lt;LOOKUP($A37,Barèmes!$AB$65:$AB$148,Barèmes!$BY$65:$BY$148),LOOKUP($A37,Barèmes!$AB$65:$AB$148,Barèmes!$CC$65:$CC178),LOOKUP($A37,Barèmes!$AB$65:$AB$148,Barèmes!$CD$65:$CD$148))))))</f>
        <v>9.0999999999999998E-2</v>
      </c>
    </row>
    <row r="38" spans="1:26" x14ac:dyDescent="0.25">
      <c r="A38" s="15">
        <f>B38+Simulation!$D$4</f>
        <v>2048</v>
      </c>
      <c r="B38" s="19">
        <v>48</v>
      </c>
      <c r="C38" s="77">
        <f>IF(AND($B38&gt;=Simulation!$D$5,$B38&lt;Simulation!$D$6),IF(Simulation!$D$3=1,LOOKUP($B38,Info_cas_type!$B$5:$B$55,Info_cas_type!$C$5:$C$55)*LOOKUP($A38,Barèmes!$A$65:$A$148,Barèmes!$D$65:$D$148),IF(Simulation!$D$3=2,LOOKUP($B38,Info_cas_type!$B$5:$B$55,Info_cas_type!$D$5:$D$55)*LOOKUP($A38,Barèmes!$A$65:$A$148,Barèmes!$D$65:$D$148),IF(Simulation!$D$3="2P",LOOKUP($B38,Info_cas_type!$B$5:$B$55,Info_cas_type!$E$5:$E$55)*LOOKUP($A38,Barèmes!$A$65:$A$148,Barèmes!$D$65:$D$148),IF(Simulation!$D$3="2M",LOOKUP($B38,Info_cas_type!$B$5:$B$55,Info_cas_type!$F$5:$F$55)*LOOKUP($A38,Barèmes!$A$65:$A$148,Barèmes!$D$65:$D$148),IF(Simulation!$D$3="SMIC",LOOKUP($A38,Barèmes!$A$65:$A$148,Barèmes!$F$65:$F$148),LOOKUP($B38,Info_cas_type!$B$5:$B$55,Info_cas_type!$G$5:$G$55)*LOOKUP($A38,Barèmes!$A$65:$A$148,Barèmes!$D$65:$D$148)))))),0)*LOOKUP($B38,Info_cas_type!$B$5:$B$55,Info_cas_type!$H$5:$H$55)</f>
        <v>80750.452541165752</v>
      </c>
      <c r="D38" s="56">
        <f>MIN($C38,LOOKUP($A38,Barèmes!$A$65:$A$148,Barèmes!$V$65:$V$148))</f>
        <v>80750.452541165752</v>
      </c>
      <c r="E38" s="56">
        <f>MIN(F38,7*LOOKUP($A38,Barèmes!$A$65:$A$148,Barèmes!$V$65:$V$148))</f>
        <v>0</v>
      </c>
      <c r="F38" s="56">
        <f>IF($C38&gt;LOOKUP($A38,Barèmes!$A$65:$A$148,Barèmes!$V$65:$V$148),($C38-LOOKUP($A38,Barèmes!$A$65:$A$148,Barèmes!$V$65:$V$148)),0)</f>
        <v>0</v>
      </c>
      <c r="H38" s="81">
        <f t="shared" si="0"/>
        <v>63922.179357265624</v>
      </c>
      <c r="I38" s="56">
        <f>H38+LOOKUP($A38,Barèmes!$A$5:$A$148,Barèmes!$CK$5:$CK$148)*C38*(LOOKUP($A38,Barèmes!$CG$65:$CG$148,Barèmes!$CH$65:$CH$148)-LOOKUP($A38,Barèmes!$CG$65:$CG$148,Barèmes!$CI$65:$CI$148))</f>
        <v>65826.275028186312</v>
      </c>
      <c r="K38" s="320">
        <f>LOOKUP($A38,Barèmes!$A$65:$A$148,Barèmes!$K$65:$K$148)-LOOKUP($A38,Barèmes!$A$65:$A$148,Barèmes!$L$65:$L$148)+(LOOKUP($A38,Barèmes!$A$65:$A$148,Barèmes!$AC$65:$AC$148)-LOOKUP($A38,Barèmes!$A$65:$A$148,Barèmes!$AD$65:$AD$148))*LOOKUP($A38,Barèmes!$A$65:$A$148,Barèmes!$AI$65:$AI$148)+LOOKUP($A38,Barèmes!$A$65:$A$148,Barèmes!$AQ$65:$AQ$148)-LOOKUP($A38,Barèmes!$A$65:$A$148,Barèmes!$AR$65:$AR$148)+LOOKUP($A38,Barèmes!$A$65:$A$148,Barèmes!$CL$65:$CL$148)+LOOKUP($A38,Barèmes!$A$65:$A$148,Barèmes!$CM$65:$CM$148)+LOOKUP($A38,Barèmes!$A$5:$A$148,Barèmes!$CK$5:$CK$148)*(LOOKUP($A38,Barèmes!$A$65:$A$148,Barèmes!$CH$65:$CH$148)+LOOKUP($A38,Barèmes!$A$65:$A$148,Barèmes!$CJ$65:$CJ$148))</f>
        <v>0.20839849999999999</v>
      </c>
      <c r="L38" s="320">
        <f>K38+LOOKUP($A38,Barèmes!$A$65:$A$148,Barèmes!$AL$65:$AL$148)-LOOKUP($A38,Barèmes!$A$65:$A$148,Barèmes!$AM$65:$AM$148)+IF($A38&gt;2010,LOOKUP($A38,Barèmes!$CG$5:$CG$148,Barèmes!$CO$5:$CO$148),0)</f>
        <v>0.21003849999999999</v>
      </c>
      <c r="M38" s="320">
        <f>(LOOKUP($A38,Barèmes!$A$65:$A$148,Barèmes!$AF$65:$AF$148)-LOOKUP($A38,Barèmes!$A$65:$A$148,Barèmes!$AG$65:$AG$148))*LOOKUP($A38,Barèmes!$A$65:$A$148,Barèmes!$AI$65:$AI$148)+LOOKUP($A38,Barèmes!$A$65:$A$148,Barèmes!$AL$65:$AL$148)-LOOKUP($A38,Barèmes!$A$65:$A$148,Barèmes!$AM$65:$AM$148)+LOOKUP($A38,Barèmes!$A$65:$A$148,Barèmes!$AV$65:$AV$148)-LOOKUP($A38,Barèmes!$A$65:$A$148,Barèmes!$AW$65:$AW$148)+LOOKUP($A38,Barèmes!$A$65:$A$148,Barèmes!$CN$65:$CN$148)+LOOKUP($A38,Barèmes!$A$65:$A$148,Barèmes!$CO$65:$CO$148)</f>
        <v>9.8799999999999999E-2</v>
      </c>
      <c r="N38" s="320">
        <f>LOOKUP($A38,Barèmes!$A$65:$A$148,Barèmes!$N$65:$N$148)-LOOKUP($A38,Barèmes!$A$65:$A$148,Barèmes!O96:O179)+0.9825*LOOKUP($A38,Barèmes!$A$65:$A$148,Barèmes!$CH$65:$CH$148)+0.9825*LOOKUP($A38,Barèmes!$A$65:$A$148,Barèmes!$CJ$65:$CJ$148)+LOOKUP($A38,Barèmes!$A$65:$A$148,Barèmes!$CL$65:$CL$148)</f>
        <v>9.9302500000000002E-2</v>
      </c>
      <c r="P38" s="321">
        <f>C38/LOOKUP($A38,Barèmes!$A$65:$A$148,Barèmes!$C$65:$C$148)</f>
        <v>51429.44628118047</v>
      </c>
      <c r="Q38" s="321">
        <f>H38/LOOKUP($A38,Barèmes!$A$65:$A$148,Barèmes!$C$65:$C$148)</f>
        <v>40711.626820351885</v>
      </c>
      <c r="R38" s="321">
        <f>I38/LOOKUP($A38,Barèmes!$A$65:$A$148,Barèmes!$C$65:$C$148)</f>
        <v>41924.333163662122</v>
      </c>
      <c r="T38" s="321">
        <f>C38/LOOKUP($A38,Barèmes!$A$65:$A$148,Barèmes!$G$65:$G$148)</f>
        <v>34943.349303331204</v>
      </c>
      <c r="U38" s="321">
        <f>H38/LOOKUP($A38,Barèmes!$A$65:$A$148,Barèmes!$G$65:$G$148)</f>
        <v>27661.207723540938</v>
      </c>
      <c r="V38" s="321">
        <f>I38/LOOKUP($A38,Barèmes!$A$65:$A$148,Barèmes!$G$65:$G$148)</f>
        <v>28485.171900113488</v>
      </c>
      <c r="Y38" s="95">
        <v>1</v>
      </c>
      <c r="Z38" s="280">
        <f>IF($Y38=1,IF(I38&lt;LOOKUP($A38,Barèmes!$AB$65:$AB$148,Barèmes!$BM$65:$BM$148),LOOKUP($A38,Barèmes!$AB$65:$AB$148,Barèmes!$BQ$65:$BQ$148),IF(I38&lt;LOOKUP($A38,Barèmes!$AB$65:$AB$148,Barèmes!$BN$65:$BN$148),LOOKUP($A38,Barèmes!$AB$65:$AB$148,Barèmes!$BR$65:$BR$148),IF(I38&lt;LOOKUP($A38,Barèmes!$AB$65:$AB$148,Barèmes!$BO$65:$BO$148),LOOKUP($A38,Barèmes!$AB$65:$AB$148,Barèmes!$BS$65:$BS$148),LOOKUP($A38,Barèmes!$AB$65:$AB$148,Barèmes!$BT$65:$BT$148)))),IF($Y38=2,IF(I38&lt;LOOKUP($A38,Barèmes!$AB$65:$AB$148,Barèmes!$BW$65:$BW$148),LOOKUP($A38,Barèmes!$AB$65:$AB$148,Barèmes!$CA$65:$CA$148),IF(I38&lt;LOOKUP($A38,Barèmes!$AB$65:$AB$148,Barèmes!$BX$65:$BX$148),LOOKUP($A38,Barèmes!$AB$65:$AB$148,Barèmes!$CB$65:$CB$148),IF(I38&lt;LOOKUP($A38,Barèmes!$AB$65:$AB$148,Barèmes!$BY$65:$BY$148),LOOKUP($A38,Barèmes!$AB$65:$AB$148,Barèmes!$CC$65:$CC179),LOOKUP($A38,Barèmes!$AB$65:$AB$148,Barèmes!$CD$65:$CD$148))))))</f>
        <v>9.0999999999999998E-2</v>
      </c>
    </row>
    <row r="39" spans="1:26" x14ac:dyDescent="0.25">
      <c r="A39" s="15">
        <f>B39+Simulation!$D$4</f>
        <v>2049</v>
      </c>
      <c r="B39" s="19">
        <v>49</v>
      </c>
      <c r="C39" s="77">
        <f>IF(AND($B39&gt;=Simulation!$D$5,$B39&lt;Simulation!$D$6),IF(Simulation!$D$3=1,LOOKUP($B39,Info_cas_type!$B$5:$B$55,Info_cas_type!$C$5:$C$55)*LOOKUP($A39,Barèmes!$A$65:$A$148,Barèmes!$D$65:$D$148),IF(Simulation!$D$3=2,LOOKUP($B39,Info_cas_type!$B$5:$B$55,Info_cas_type!$D$5:$D$55)*LOOKUP($A39,Barèmes!$A$65:$A$148,Barèmes!$D$65:$D$148),IF(Simulation!$D$3="2P",LOOKUP($B39,Info_cas_type!$B$5:$B$55,Info_cas_type!$E$5:$E$55)*LOOKUP($A39,Barèmes!$A$65:$A$148,Barèmes!$D$65:$D$148),IF(Simulation!$D$3="2M",LOOKUP($B39,Info_cas_type!$B$5:$B$55,Info_cas_type!$F$5:$F$55)*LOOKUP($A39,Barèmes!$A$65:$A$148,Barèmes!$D$65:$D$148),IF(Simulation!$D$3="SMIC",LOOKUP($A39,Barèmes!$A$65:$A$148,Barèmes!$F$65:$F$148),LOOKUP($B39,Info_cas_type!$B$5:$B$55,Info_cas_type!$G$5:$G$55)*LOOKUP($A39,Barèmes!$A$65:$A$148,Barèmes!$D$65:$D$148)))))),0)*LOOKUP($B39,Info_cas_type!$B$5:$B$55,Info_cas_type!$H$5:$H$55)</f>
        <v>82930.667120922808</v>
      </c>
      <c r="D39" s="56">
        <f>MIN($C39,LOOKUP($A39,Barèmes!$A$65:$A$148,Barèmes!$V$65:$V$148))</f>
        <v>82930.667120922808</v>
      </c>
      <c r="E39" s="56">
        <f>MIN(F39,7*LOOKUP($A39,Barèmes!$A$65:$A$148,Barèmes!$V$65:$V$148))</f>
        <v>0</v>
      </c>
      <c r="F39" s="56">
        <f>IF($C39&gt;LOOKUP($A39,Barèmes!$A$65:$A$148,Barèmes!$V$65:$V$148),($C39-LOOKUP($A39,Barèmes!$A$65:$A$148,Barèmes!$V$65:$V$148)),0)</f>
        <v>0</v>
      </c>
      <c r="H39" s="81">
        <f t="shared" si="0"/>
        <v>65648.040488923187</v>
      </c>
      <c r="I39" s="56">
        <f>H39+LOOKUP($A39,Barèmes!$A$5:$A$148,Barèmes!$CK$5:$CK$148)*C39*(LOOKUP($A39,Barèmes!$CG$65:$CG$148,Barèmes!$CH$65:$CH$148)-LOOKUP($A39,Barèmes!$CG$65:$CG$148,Barèmes!$CI$65:$CI$148))</f>
        <v>67603.545619634548</v>
      </c>
      <c r="K39" s="320">
        <f>LOOKUP($A39,Barèmes!$A$65:$A$148,Barèmes!$K$65:$K$148)-LOOKUP($A39,Barèmes!$A$65:$A$148,Barèmes!$L$65:$L$148)+(LOOKUP($A39,Barèmes!$A$65:$A$148,Barèmes!$AC$65:$AC$148)-LOOKUP($A39,Barèmes!$A$65:$A$148,Barèmes!$AD$65:$AD$148))*LOOKUP($A39,Barèmes!$A$65:$A$148,Barèmes!$AI$65:$AI$148)+LOOKUP($A39,Barèmes!$A$65:$A$148,Barèmes!$AQ$65:$AQ$148)-LOOKUP($A39,Barèmes!$A$65:$A$148,Barèmes!$AR$65:$AR$148)+LOOKUP($A39,Barèmes!$A$65:$A$148,Barèmes!$CL$65:$CL$148)+LOOKUP($A39,Barèmes!$A$65:$A$148,Barèmes!$CM$65:$CM$148)+LOOKUP($A39,Barèmes!$A$5:$A$148,Barèmes!$CK$5:$CK$148)*(LOOKUP($A39,Barèmes!$A$65:$A$148,Barèmes!$CH$65:$CH$148)+LOOKUP($A39,Barèmes!$A$65:$A$148,Barèmes!$CJ$65:$CJ$148))</f>
        <v>0.20839849999999999</v>
      </c>
      <c r="L39" s="320">
        <f>K39+LOOKUP($A39,Barèmes!$A$65:$A$148,Barèmes!$AL$65:$AL$148)-LOOKUP($A39,Barèmes!$A$65:$A$148,Barèmes!$AM$65:$AM$148)+IF($A39&gt;2010,LOOKUP($A39,Barèmes!$CG$5:$CG$148,Barèmes!$CO$5:$CO$148),0)</f>
        <v>0.21003849999999999</v>
      </c>
      <c r="M39" s="320">
        <f>(LOOKUP($A39,Barèmes!$A$65:$A$148,Barèmes!$AF$65:$AF$148)-LOOKUP($A39,Barèmes!$A$65:$A$148,Barèmes!$AG$65:$AG$148))*LOOKUP($A39,Barèmes!$A$65:$A$148,Barèmes!$AI$65:$AI$148)+LOOKUP($A39,Barèmes!$A$65:$A$148,Barèmes!$AL$65:$AL$148)-LOOKUP($A39,Barèmes!$A$65:$A$148,Barèmes!$AM$65:$AM$148)+LOOKUP($A39,Barèmes!$A$65:$A$148,Barèmes!$AV$65:$AV$148)-LOOKUP($A39,Barèmes!$A$65:$A$148,Barèmes!$AW$65:$AW$148)+LOOKUP($A39,Barèmes!$A$65:$A$148,Barèmes!$CN$65:$CN$148)+LOOKUP($A39,Barèmes!$A$65:$A$148,Barèmes!$CO$65:$CO$148)</f>
        <v>9.8799999999999999E-2</v>
      </c>
      <c r="N39" s="320">
        <f>LOOKUP($A39,Barèmes!$A$65:$A$148,Barèmes!$N$65:$N$148)-LOOKUP($A39,Barèmes!$A$65:$A$148,Barèmes!O97:O180)+0.9825*LOOKUP($A39,Barèmes!$A$65:$A$148,Barèmes!$CH$65:$CH$148)+0.9825*LOOKUP($A39,Barèmes!$A$65:$A$148,Barèmes!$CJ$65:$CJ$148)+LOOKUP($A39,Barèmes!$A$65:$A$148,Barèmes!$CL$65:$CL$148)</f>
        <v>9.9302500000000002E-2</v>
      </c>
      <c r="P39" s="321">
        <f>C39/LOOKUP($A39,Barèmes!$A$65:$A$148,Barèmes!$C$65:$C$148)</f>
        <v>51909.593110457921</v>
      </c>
      <c r="Q39" s="321">
        <f>H39/LOOKUP($A39,Barèmes!$A$65:$A$148,Barèmes!$C$65:$C$148)</f>
        <v>41091.711770628157</v>
      </c>
      <c r="R39" s="321">
        <f>I39/LOOKUP($A39,Barèmes!$A$65:$A$148,Barèmes!$C$65:$C$148)</f>
        <v>42315.739976172757</v>
      </c>
      <c r="T39" s="321">
        <f>C39/LOOKUP($A39,Barèmes!$A$65:$A$148,Barèmes!$G$65:$G$148)</f>
        <v>34816.96095198601</v>
      </c>
      <c r="U39" s="321">
        <f>H39/LOOKUP($A39,Barèmes!$A$65:$A$148,Barèmes!$G$65:$G$148)</f>
        <v>27561.158515033556</v>
      </c>
      <c r="V39" s="321">
        <f>I39/LOOKUP($A39,Barèmes!$A$65:$A$148,Barèmes!$G$65:$G$148)</f>
        <v>28382.142454281387</v>
      </c>
      <c r="Y39" s="95">
        <v>1</v>
      </c>
      <c r="Z39" s="280">
        <f>IF($Y39=1,IF(I39&lt;LOOKUP($A39,Barèmes!$AB$65:$AB$148,Barèmes!$BM$65:$BM$148),LOOKUP($A39,Barèmes!$AB$65:$AB$148,Barèmes!$BQ$65:$BQ$148),IF(I39&lt;LOOKUP($A39,Barèmes!$AB$65:$AB$148,Barèmes!$BN$65:$BN$148),LOOKUP($A39,Barèmes!$AB$65:$AB$148,Barèmes!$BR$65:$BR$148),IF(I39&lt;LOOKUP($A39,Barèmes!$AB$65:$AB$148,Barèmes!$BO$65:$BO$148),LOOKUP($A39,Barèmes!$AB$65:$AB$148,Barèmes!$BS$65:$BS$148),LOOKUP($A39,Barèmes!$AB$65:$AB$148,Barèmes!$BT$65:$BT$148)))),IF($Y39=2,IF(I39&lt;LOOKUP($A39,Barèmes!$AB$65:$AB$148,Barèmes!$BW$65:$BW$148),LOOKUP($A39,Barèmes!$AB$65:$AB$148,Barèmes!$CA$65:$CA$148),IF(I39&lt;LOOKUP($A39,Barèmes!$AB$65:$AB$148,Barèmes!$BX$65:$BX$148),LOOKUP($A39,Barèmes!$AB$65:$AB$148,Barèmes!$CB$65:$CB$148),IF(I39&lt;LOOKUP($A39,Barèmes!$AB$65:$AB$148,Barèmes!$BY$65:$BY$148),LOOKUP($A39,Barèmes!$AB$65:$AB$148,Barèmes!$CC$65:$CC180),LOOKUP($A39,Barèmes!$AB$65:$AB$148,Barèmes!$CD$65:$CD$148))))))</f>
        <v>9.0999999999999998E-2</v>
      </c>
    </row>
    <row r="40" spans="1:26" x14ac:dyDescent="0.25">
      <c r="A40" s="15">
        <f>B40+Simulation!$D$4</f>
        <v>2050</v>
      </c>
      <c r="B40" s="19">
        <v>50</v>
      </c>
      <c r="C40" s="77">
        <f>IF(AND($B40&gt;=Simulation!$D$5,$B40&lt;Simulation!$D$6),IF(Simulation!$D$3=1,LOOKUP($B40,Info_cas_type!$B$5:$B$55,Info_cas_type!$C$5:$C$55)*LOOKUP($A40,Barèmes!$A$65:$A$148,Barèmes!$D$65:$D$148),IF(Simulation!$D$3=2,LOOKUP($B40,Info_cas_type!$B$5:$B$55,Info_cas_type!$D$5:$D$55)*LOOKUP($A40,Barèmes!$A$65:$A$148,Barèmes!$D$65:$D$148),IF(Simulation!$D$3="2P",LOOKUP($B40,Info_cas_type!$B$5:$B$55,Info_cas_type!$E$5:$E$55)*LOOKUP($A40,Barèmes!$A$65:$A$148,Barèmes!$D$65:$D$148),IF(Simulation!$D$3="2M",LOOKUP($B40,Info_cas_type!$B$5:$B$55,Info_cas_type!$F$5:$F$55)*LOOKUP($A40,Barèmes!$A$65:$A$148,Barèmes!$D$65:$D$148),IF(Simulation!$D$3="SMIC",LOOKUP($A40,Barèmes!$A$65:$A$148,Barèmes!$F$65:$F$148),LOOKUP($B40,Info_cas_type!$B$5:$B$55,Info_cas_type!$G$5:$G$55)*LOOKUP($A40,Barèmes!$A$65:$A$148,Barèmes!$D$65:$D$148)))))),0)*LOOKUP($B40,Info_cas_type!$B$5:$B$55,Info_cas_type!$H$5:$H$55)</f>
        <v>85244.849785518381</v>
      </c>
      <c r="D40" s="56">
        <f>MIN($C40,LOOKUP($A40,Barèmes!$A$65:$A$148,Barèmes!$V$65:$V$148))</f>
        <v>85244.849785518381</v>
      </c>
      <c r="E40" s="56">
        <f>MIN(F40,7*LOOKUP($A40,Barèmes!$A$65:$A$148,Barèmes!$V$65:$V$148))</f>
        <v>0</v>
      </c>
      <c r="F40" s="56">
        <f>IF($C40&gt;LOOKUP($A40,Barèmes!$A$65:$A$148,Barèmes!$V$65:$V$148),($C40-LOOKUP($A40,Barèmes!$A$65:$A$148,Barèmes!$V$65:$V$148)),0)</f>
        <v>0</v>
      </c>
      <c r="H40" s="81">
        <f t="shared" si="0"/>
        <v>67479.950957491033</v>
      </c>
      <c r="I40" s="56">
        <f>H40+LOOKUP($A40,Barèmes!$A$5:$A$148,Barèmes!$CK$5:$CK$148)*C40*(LOOKUP($A40,Barèmes!$CG$65:$CG$148,Barèmes!$CH$65:$CH$148)-LOOKUP($A40,Barèmes!$CG$65:$CG$148,Barèmes!$CI$65:$CI$148))</f>
        <v>69490.024515433557</v>
      </c>
      <c r="K40" s="320">
        <f>LOOKUP($A40,Barèmes!$A$65:$A$148,Barèmes!$K$65:$K$148)-LOOKUP($A40,Barèmes!$A$65:$A$148,Barèmes!$L$65:$L$148)+(LOOKUP($A40,Barèmes!$A$65:$A$148,Barèmes!$AC$65:$AC$148)-LOOKUP($A40,Barèmes!$A$65:$A$148,Barèmes!$AD$65:$AD$148))*LOOKUP($A40,Barèmes!$A$65:$A$148,Barèmes!$AI$65:$AI$148)+LOOKUP($A40,Barèmes!$A$65:$A$148,Barèmes!$AQ$65:$AQ$148)-LOOKUP($A40,Barèmes!$A$65:$A$148,Barèmes!$AR$65:$AR$148)+LOOKUP($A40,Barèmes!$A$65:$A$148,Barèmes!$CL$65:$CL$148)+LOOKUP($A40,Barèmes!$A$65:$A$148,Barèmes!$CM$65:$CM$148)+LOOKUP($A40,Barèmes!$A$5:$A$148,Barèmes!$CK$5:$CK$148)*(LOOKUP($A40,Barèmes!$A$65:$A$148,Barèmes!$CH$65:$CH$148)+LOOKUP($A40,Barèmes!$A$65:$A$148,Barèmes!$CJ$65:$CJ$148))</f>
        <v>0.20839849999999999</v>
      </c>
      <c r="L40" s="320">
        <f>K40+LOOKUP($A40,Barèmes!$A$65:$A$148,Barèmes!$AL$65:$AL$148)-LOOKUP($A40,Barèmes!$A$65:$A$148,Barèmes!$AM$65:$AM$148)+IF($A40&gt;2010,LOOKUP($A40,Barèmes!$CG$5:$CG$148,Barèmes!$CO$5:$CO$148),0)</f>
        <v>0.21003849999999999</v>
      </c>
      <c r="M40" s="320">
        <f>(LOOKUP($A40,Barèmes!$A$65:$A$148,Barèmes!$AF$65:$AF$148)-LOOKUP($A40,Barèmes!$A$65:$A$148,Barèmes!$AG$65:$AG$148))*LOOKUP($A40,Barèmes!$A$65:$A$148,Barèmes!$AI$65:$AI$148)+LOOKUP($A40,Barèmes!$A$65:$A$148,Barèmes!$AL$65:$AL$148)-LOOKUP($A40,Barèmes!$A$65:$A$148,Barèmes!$AM$65:$AM$148)+LOOKUP($A40,Barèmes!$A$65:$A$148,Barèmes!$AV$65:$AV$148)-LOOKUP($A40,Barèmes!$A$65:$A$148,Barèmes!$AW$65:$AW$148)+LOOKUP($A40,Barèmes!$A$65:$A$148,Barèmes!$CN$65:$CN$148)+LOOKUP($A40,Barèmes!$A$65:$A$148,Barèmes!$CO$65:$CO$148)</f>
        <v>9.8799999999999999E-2</v>
      </c>
      <c r="N40" s="320">
        <f>LOOKUP($A40,Barèmes!$A$65:$A$148,Barèmes!$N$65:$N$148)-LOOKUP($A40,Barèmes!$A$65:$A$148,Barèmes!O98:O181)+0.9825*LOOKUP($A40,Barèmes!$A$65:$A$148,Barèmes!$CH$65:$CH$148)+0.9825*LOOKUP($A40,Barèmes!$A$65:$A$148,Barèmes!$CJ$65:$CJ$148)+LOOKUP($A40,Barèmes!$A$65:$A$148,Barèmes!$CL$65:$CL$148)</f>
        <v>9.9302500000000002E-2</v>
      </c>
      <c r="P40" s="321">
        <f>C40/LOOKUP($A40,Barèmes!$A$65:$A$148,Barèmes!$C$65:$C$148)</f>
        <v>52440.424380909557</v>
      </c>
      <c r="Q40" s="321">
        <f>H40/LOOKUP($A40,Barèmes!$A$65:$A$148,Barèmes!$C$65:$C$148)</f>
        <v>41511.918600564582</v>
      </c>
      <c r="R40" s="321">
        <f>I40/LOOKUP($A40,Barèmes!$A$65:$A$148,Barèmes!$C$65:$C$148)</f>
        <v>42748.463807466425</v>
      </c>
      <c r="T40" s="321">
        <f>C40/LOOKUP($A40,Barèmes!$A$65:$A$148,Barèmes!$G$65:$G$148)</f>
        <v>34721.620655658073</v>
      </c>
      <c r="U40" s="321">
        <f>H40/LOOKUP($A40,Barèmes!$A$65:$A$148,Barèmes!$G$65:$G$148)</f>
        <v>27485.686993449919</v>
      </c>
      <c r="V40" s="321">
        <f>I40/LOOKUP($A40,Barèmes!$A$65:$A$148,Barèmes!$G$65:$G$148)</f>
        <v>28304.422808510335</v>
      </c>
      <c r="Y40" s="95">
        <v>1</v>
      </c>
      <c r="Z40" s="280">
        <f>IF($Y40=1,IF(I40&lt;LOOKUP($A40,Barèmes!$AB$65:$AB$148,Barèmes!$BM$65:$BM$148),LOOKUP($A40,Barèmes!$AB$65:$AB$148,Barèmes!$BQ$65:$BQ$148),IF(I40&lt;LOOKUP($A40,Barèmes!$AB$65:$AB$148,Barèmes!$BN$65:$BN$148),LOOKUP($A40,Barèmes!$AB$65:$AB$148,Barèmes!$BR$65:$BR$148),IF(I40&lt;LOOKUP($A40,Barèmes!$AB$65:$AB$148,Barèmes!$BO$65:$BO$148),LOOKUP($A40,Barèmes!$AB$65:$AB$148,Barèmes!$BS$65:$BS$148),LOOKUP($A40,Barèmes!$AB$65:$AB$148,Barèmes!$BT$65:$BT$148)))),IF($Y40=2,IF(I40&lt;LOOKUP($A40,Barèmes!$AB$65:$AB$148,Barèmes!$BW$65:$BW$148),LOOKUP($A40,Barèmes!$AB$65:$AB$148,Barèmes!$CA$65:$CA$148),IF(I40&lt;LOOKUP($A40,Barèmes!$AB$65:$AB$148,Barèmes!$BX$65:$BX$148),LOOKUP($A40,Barèmes!$AB$65:$AB$148,Barèmes!$CB$65:$CB$148),IF(I40&lt;LOOKUP($A40,Barèmes!$AB$65:$AB$148,Barèmes!$BY$65:$BY$148),LOOKUP($A40,Barèmes!$AB$65:$AB$148,Barèmes!$CC$65:$CC181),LOOKUP($A40,Barèmes!$AB$65:$AB$148,Barèmes!$CD$65:$CD$148))))))</f>
        <v>9.0999999999999998E-2</v>
      </c>
    </row>
    <row r="41" spans="1:26" x14ac:dyDescent="0.25">
      <c r="A41" s="15">
        <f>B41+Simulation!$D$4</f>
        <v>2051</v>
      </c>
      <c r="B41" s="19">
        <v>51</v>
      </c>
      <c r="C41" s="77">
        <f>IF(AND($B41&gt;=Simulation!$D$5,$B41&lt;Simulation!$D$6),IF(Simulation!$D$3=1,LOOKUP($B41,Info_cas_type!$B$5:$B$55,Info_cas_type!$C$5:$C$55)*LOOKUP($A41,Barèmes!$A$65:$A$148,Barèmes!$D$65:$D$148),IF(Simulation!$D$3=2,LOOKUP($B41,Info_cas_type!$B$5:$B$55,Info_cas_type!$D$5:$D$55)*LOOKUP($A41,Barèmes!$A$65:$A$148,Barèmes!$D$65:$D$148),IF(Simulation!$D$3="2P",LOOKUP($B41,Info_cas_type!$B$5:$B$55,Info_cas_type!$E$5:$E$55)*LOOKUP($A41,Barèmes!$A$65:$A$148,Barèmes!$D$65:$D$148),IF(Simulation!$D$3="2M",LOOKUP($B41,Info_cas_type!$B$5:$B$55,Info_cas_type!$F$5:$F$55)*LOOKUP($A41,Barèmes!$A$65:$A$148,Barèmes!$D$65:$D$148),IF(Simulation!$D$3="SMIC",LOOKUP($A41,Barèmes!$A$65:$A$148,Barèmes!$F$65:$F$148),LOOKUP($B41,Info_cas_type!$B$5:$B$55,Info_cas_type!$G$5:$G$55)*LOOKUP($A41,Barèmes!$A$65:$A$148,Barèmes!$D$65:$D$148)))))),0)*LOOKUP($B41,Info_cas_type!$B$5:$B$55,Info_cas_type!$H$5:$H$55)</f>
        <v>87911.710513228318</v>
      </c>
      <c r="D41" s="56">
        <f>MIN($C41,LOOKUP($A41,Barèmes!$A$65:$A$148,Barèmes!$V$65:$V$148))</f>
        <v>87911.710513228318</v>
      </c>
      <c r="E41" s="56">
        <f>MIN(F41,7*LOOKUP($A41,Barèmes!$A$65:$A$148,Barèmes!$V$65:$V$148))</f>
        <v>0</v>
      </c>
      <c r="F41" s="56">
        <f>IF($C41&gt;LOOKUP($A41,Barèmes!$A$65:$A$148,Barèmes!$V$65:$V$148),($C41-LOOKUP($A41,Barèmes!$A$65:$A$148,Barèmes!$V$65:$V$148)),0)</f>
        <v>0</v>
      </c>
      <c r="H41" s="81">
        <f t="shared" si="0"/>
        <v>69591.04190983731</v>
      </c>
      <c r="I41" s="56">
        <f>H41+LOOKUP($A41,Barèmes!$A$5:$A$148,Barèmes!$CK$5:$CK$148)*C41*(LOOKUP($A41,Barèmes!$CG$65:$CG$148,Barèmes!$CH$65:$CH$148)-LOOKUP($A41,Barèmes!$CG$65:$CG$148,Barèmes!$CI$65:$CI$148))</f>
        <v>71664.00004373923</v>
      </c>
      <c r="K41" s="320">
        <f>LOOKUP($A41,Barèmes!$A$65:$A$148,Barèmes!$K$65:$K$148)-LOOKUP($A41,Barèmes!$A$65:$A$148,Barèmes!$L$65:$L$148)+(LOOKUP($A41,Barèmes!$A$65:$A$148,Barèmes!$AC$65:$AC$148)-LOOKUP($A41,Barèmes!$A$65:$A$148,Barèmes!$AD$65:$AD$148))*LOOKUP($A41,Barèmes!$A$65:$A$148,Barèmes!$AI$65:$AI$148)+LOOKUP($A41,Barèmes!$A$65:$A$148,Barèmes!$AQ$65:$AQ$148)-LOOKUP($A41,Barèmes!$A$65:$A$148,Barèmes!$AR$65:$AR$148)+LOOKUP($A41,Barèmes!$A$65:$A$148,Barèmes!$CL$65:$CL$148)+LOOKUP($A41,Barèmes!$A$65:$A$148,Barèmes!$CM$65:$CM$148)+LOOKUP($A41,Barèmes!$A$5:$A$148,Barèmes!$CK$5:$CK$148)*(LOOKUP($A41,Barèmes!$A$65:$A$148,Barèmes!$CH$65:$CH$148)+LOOKUP($A41,Barèmes!$A$65:$A$148,Barèmes!$CJ$65:$CJ$148))</f>
        <v>0.20839849999999999</v>
      </c>
      <c r="L41" s="320">
        <f>K41+LOOKUP($A41,Barèmes!$A$65:$A$148,Barèmes!$AL$65:$AL$148)-LOOKUP($A41,Barèmes!$A$65:$A$148,Barèmes!$AM$65:$AM$148)+IF($A41&gt;2010,LOOKUP($A41,Barèmes!$CG$5:$CG$148,Barèmes!$CO$5:$CO$148),0)</f>
        <v>0.21003849999999999</v>
      </c>
      <c r="M41" s="320">
        <f>(LOOKUP($A41,Barèmes!$A$65:$A$148,Barèmes!$AF$65:$AF$148)-LOOKUP($A41,Barèmes!$A$65:$A$148,Barèmes!$AG$65:$AG$148))*LOOKUP($A41,Barèmes!$A$65:$A$148,Barèmes!$AI$65:$AI$148)+LOOKUP($A41,Barèmes!$A$65:$A$148,Barèmes!$AL$65:$AL$148)-LOOKUP($A41,Barèmes!$A$65:$A$148,Barèmes!$AM$65:$AM$148)+LOOKUP($A41,Barèmes!$A$65:$A$148,Barèmes!$AV$65:$AV$148)-LOOKUP($A41,Barèmes!$A$65:$A$148,Barèmes!$AW$65:$AW$148)+LOOKUP($A41,Barèmes!$A$65:$A$148,Barèmes!$CN$65:$CN$148)+LOOKUP($A41,Barèmes!$A$65:$A$148,Barèmes!$CO$65:$CO$148)</f>
        <v>9.8799999999999999E-2</v>
      </c>
      <c r="N41" s="320">
        <f>LOOKUP($A41,Barèmes!$A$65:$A$148,Barèmes!$N$65:$N$148)-LOOKUP($A41,Barèmes!$A$65:$A$148,Barèmes!O99:O182)+0.9825*LOOKUP($A41,Barèmes!$A$65:$A$148,Barèmes!$CH$65:$CH$148)+0.9825*LOOKUP($A41,Barèmes!$A$65:$A$148,Barèmes!$CJ$65:$CJ$148)+LOOKUP($A41,Barèmes!$A$65:$A$148,Barèmes!$CL$65:$CL$148)</f>
        <v>9.9302500000000002E-2</v>
      </c>
      <c r="P41" s="321">
        <f>C41/LOOKUP($A41,Barèmes!$A$65:$A$148,Barèmes!$C$65:$C$148)</f>
        <v>53150.867861182327</v>
      </c>
      <c r="Q41" s="321">
        <f>H41/LOOKUP($A41,Barèmes!$A$65:$A$148,Barèmes!$C$65:$C$148)</f>
        <v>42074.306725213726</v>
      </c>
      <c r="R41" s="321">
        <f>I41/LOOKUP($A41,Barèmes!$A$65:$A$148,Barèmes!$C$65:$C$148)</f>
        <v>43327.604189380399</v>
      </c>
      <c r="T41" s="321">
        <f>C41/LOOKUP($A41,Barèmes!$A$65:$A$148,Barèmes!$G$65:$G$148)</f>
        <v>34740.391248157626</v>
      </c>
      <c r="U41" s="321">
        <f>H41/LOOKUP($A41,Barèmes!$A$65:$A$148,Barèmes!$G$65:$G$148)</f>
        <v>27500.545822628454</v>
      </c>
      <c r="V41" s="321">
        <f>I41/LOOKUP($A41,Barèmes!$A$65:$A$148,Barèmes!$G$65:$G$148)</f>
        <v>28319.724248260009</v>
      </c>
      <c r="Y41" s="95">
        <v>1</v>
      </c>
      <c r="Z41" s="280">
        <f>IF($Y41=1,IF(I41&lt;LOOKUP($A41,Barèmes!$AB$65:$AB$148,Barèmes!$BM$65:$BM$148),LOOKUP($A41,Barèmes!$AB$65:$AB$148,Barèmes!$BQ$65:$BQ$148),IF(I41&lt;LOOKUP($A41,Barèmes!$AB$65:$AB$148,Barèmes!$BN$65:$BN$148),LOOKUP($A41,Barèmes!$AB$65:$AB$148,Barèmes!$BR$65:$BR$148),IF(I41&lt;LOOKUP($A41,Barèmes!$AB$65:$AB$148,Barèmes!$BO$65:$BO$148),LOOKUP($A41,Barèmes!$AB$65:$AB$148,Barèmes!$BS$65:$BS$148),LOOKUP($A41,Barèmes!$AB$65:$AB$148,Barèmes!$BT$65:$BT$148)))),IF($Y41=2,IF(I41&lt;LOOKUP($A41,Barèmes!$AB$65:$AB$148,Barèmes!$BW$65:$BW$148),LOOKUP($A41,Barèmes!$AB$65:$AB$148,Barèmes!$CA$65:$CA$148),IF(I41&lt;LOOKUP($A41,Barèmes!$AB$65:$AB$148,Barèmes!$BX$65:$BX$148),LOOKUP($A41,Barèmes!$AB$65:$AB$148,Barèmes!$CB$65:$CB$148),IF(I41&lt;LOOKUP($A41,Barèmes!$AB$65:$AB$148,Barèmes!$BY$65:$BY$148),LOOKUP($A41,Barèmes!$AB$65:$AB$148,Barèmes!$CC$65:$CC182),LOOKUP($A41,Barèmes!$AB$65:$AB$148,Barèmes!$CD$65:$CD$148))))))</f>
        <v>9.0999999999999998E-2</v>
      </c>
    </row>
    <row r="42" spans="1:26" x14ac:dyDescent="0.25">
      <c r="A42" s="15">
        <f>B42+Simulation!$D$4</f>
        <v>2052</v>
      </c>
      <c r="B42" s="19">
        <v>52</v>
      </c>
      <c r="C42" s="77">
        <f>IF(AND($B42&gt;=Simulation!$D$5,$B42&lt;Simulation!$D$6),IF(Simulation!$D$3=1,LOOKUP($B42,Info_cas_type!$B$5:$B$55,Info_cas_type!$C$5:$C$55)*LOOKUP($A42,Barèmes!$A$65:$A$148,Barèmes!$D$65:$D$148),IF(Simulation!$D$3=2,LOOKUP($B42,Info_cas_type!$B$5:$B$55,Info_cas_type!$D$5:$D$55)*LOOKUP($A42,Barèmes!$A$65:$A$148,Barèmes!$D$65:$D$148),IF(Simulation!$D$3="2P",LOOKUP($B42,Info_cas_type!$B$5:$B$55,Info_cas_type!$E$5:$E$55)*LOOKUP($A42,Barèmes!$A$65:$A$148,Barèmes!$D$65:$D$148),IF(Simulation!$D$3="2M",LOOKUP($B42,Info_cas_type!$B$5:$B$55,Info_cas_type!$F$5:$F$55)*LOOKUP($A42,Barèmes!$A$65:$A$148,Barèmes!$D$65:$D$148),IF(Simulation!$D$3="SMIC",LOOKUP($A42,Barèmes!$A$65:$A$148,Barèmes!$F$65:$F$148),LOOKUP($B42,Info_cas_type!$B$5:$B$55,Info_cas_type!$G$5:$G$55)*LOOKUP($A42,Barèmes!$A$65:$A$148,Barèmes!$D$65:$D$148)))))),0)*LOOKUP($B42,Info_cas_type!$B$5:$B$55,Info_cas_type!$H$5:$H$55)</f>
        <v>89089.066352199225</v>
      </c>
      <c r="D42" s="56">
        <f>MIN($C42,LOOKUP($A42,Barèmes!$A$65:$A$148,Barèmes!$V$65:$V$148))</f>
        <v>89089.066352199225</v>
      </c>
      <c r="E42" s="56">
        <f>MIN(F42,7*LOOKUP($A42,Barèmes!$A$65:$A$148,Barèmes!$V$65:$V$148))</f>
        <v>0</v>
      </c>
      <c r="F42" s="56">
        <f>IF($C42&gt;LOOKUP($A42,Barèmes!$A$65:$A$148,Barèmes!$V$65:$V$148),($C42-LOOKUP($A42,Barèmes!$A$65:$A$148,Barèmes!$V$65:$V$148)),0)</f>
        <v>0</v>
      </c>
      <c r="H42" s="81">
        <f t="shared" si="0"/>
        <v>70523.038558000437</v>
      </c>
      <c r="I42" s="56">
        <f>H42+LOOKUP($A42,Barèmes!$A$5:$A$148,Barèmes!$CK$5:$CK$148)*C42*(LOOKUP($A42,Barèmes!$CG$65:$CG$148,Barèmes!$CH$65:$CH$148)-LOOKUP($A42,Barèmes!$CG$65:$CG$148,Barèmes!$CI$65:$CI$148))</f>
        <v>72623.758742585298</v>
      </c>
      <c r="K42" s="320">
        <f>LOOKUP($A42,Barèmes!$A$65:$A$148,Barèmes!$K$65:$K$148)-LOOKUP($A42,Barèmes!$A$65:$A$148,Barèmes!$L$65:$L$148)+(LOOKUP($A42,Barèmes!$A$65:$A$148,Barèmes!$AC$65:$AC$148)-LOOKUP($A42,Barèmes!$A$65:$A$148,Barèmes!$AD$65:$AD$148))*LOOKUP($A42,Barèmes!$A$65:$A$148,Barèmes!$AI$65:$AI$148)+LOOKUP($A42,Barèmes!$A$65:$A$148,Barèmes!$AQ$65:$AQ$148)-LOOKUP($A42,Barèmes!$A$65:$A$148,Barèmes!$AR$65:$AR$148)+LOOKUP($A42,Barèmes!$A$65:$A$148,Barèmes!$CL$65:$CL$148)+LOOKUP($A42,Barèmes!$A$65:$A$148,Barèmes!$CM$65:$CM$148)+LOOKUP($A42,Barèmes!$A$5:$A$148,Barèmes!$CK$5:$CK$148)*(LOOKUP($A42,Barèmes!$A$65:$A$148,Barèmes!$CH$65:$CH$148)+LOOKUP($A42,Barèmes!$A$65:$A$148,Barèmes!$CJ$65:$CJ$148))</f>
        <v>0.20839849999999999</v>
      </c>
      <c r="L42" s="320">
        <f>K42+LOOKUP($A42,Barèmes!$A$65:$A$148,Barèmes!$AL$65:$AL$148)-LOOKUP($A42,Barèmes!$A$65:$A$148,Barèmes!$AM$65:$AM$148)+IF($A42&gt;2010,LOOKUP($A42,Barèmes!$CG$5:$CG$148,Barèmes!$CO$5:$CO$148),0)</f>
        <v>0.21003849999999999</v>
      </c>
      <c r="M42" s="320">
        <f>(LOOKUP($A42,Barèmes!$A$65:$A$148,Barèmes!$AF$65:$AF$148)-LOOKUP($A42,Barèmes!$A$65:$A$148,Barèmes!$AG$65:$AG$148))*LOOKUP($A42,Barèmes!$A$65:$A$148,Barèmes!$AI$65:$AI$148)+LOOKUP($A42,Barèmes!$A$65:$A$148,Barèmes!$AL$65:$AL$148)-LOOKUP($A42,Barèmes!$A$65:$A$148,Barèmes!$AM$65:$AM$148)+LOOKUP($A42,Barèmes!$A$65:$A$148,Barèmes!$AV$65:$AV$148)-LOOKUP($A42,Barèmes!$A$65:$A$148,Barèmes!$AW$65:$AW$148)+LOOKUP($A42,Barèmes!$A$65:$A$148,Barèmes!$CN$65:$CN$148)+LOOKUP($A42,Barèmes!$A$65:$A$148,Barèmes!$CO$65:$CO$148)</f>
        <v>9.8799999999999999E-2</v>
      </c>
      <c r="N42" s="320">
        <f>LOOKUP($A42,Barèmes!$A$65:$A$148,Barèmes!$N$65:$N$148)-LOOKUP($A42,Barèmes!$A$65:$A$148,Barèmes!O100:O183)+0.9825*LOOKUP($A42,Barèmes!$A$65:$A$148,Barèmes!$CH$65:$CH$148)+0.9825*LOOKUP($A42,Barèmes!$A$65:$A$148,Barèmes!$CJ$65:$CJ$148)+LOOKUP($A42,Barèmes!$A$65:$A$148,Barèmes!$CL$65:$CL$148)</f>
        <v>9.9302500000000002E-2</v>
      </c>
      <c r="P42" s="321">
        <f>C42/LOOKUP($A42,Barèmes!$A$65:$A$148,Barèmes!$C$65:$C$148)</f>
        <v>52936.304476221034</v>
      </c>
      <c r="Q42" s="321">
        <f>H42/LOOKUP($A42,Barèmes!$A$65:$A$148,Barèmes!$C$65:$C$148)</f>
        <v>41904.458027833287</v>
      </c>
      <c r="R42" s="321">
        <f>I42/LOOKUP($A42,Barèmes!$A$65:$A$148,Barèmes!$C$65:$C$148)</f>
        <v>43152.696087382581</v>
      </c>
      <c r="T42" s="321">
        <f>C42/LOOKUP($A42,Barèmes!$A$65:$A$148,Barèmes!$G$65:$G$148)</f>
        <v>34156.119099116993</v>
      </c>
      <c r="U42" s="321">
        <f>H42/LOOKUP($A42,Barèmes!$A$65:$A$148,Barèmes!$G$65:$G$148)</f>
        <v>27038.035113039663</v>
      </c>
      <c r="V42" s="321">
        <f>I42/LOOKUP($A42,Barèmes!$A$65:$A$148,Barèmes!$G$65:$G$148)</f>
        <v>27843.436401396841</v>
      </c>
      <c r="Y42" s="95">
        <v>1</v>
      </c>
      <c r="Z42" s="280">
        <f>IF($Y42=1,IF(I42&lt;LOOKUP($A42,Barèmes!$AB$65:$AB$148,Barèmes!$BM$65:$BM$148),LOOKUP($A42,Barèmes!$AB$65:$AB$148,Barèmes!$BQ$65:$BQ$148),IF(I42&lt;LOOKUP($A42,Barèmes!$AB$65:$AB$148,Barèmes!$BN$65:$BN$148),LOOKUP($A42,Barèmes!$AB$65:$AB$148,Barèmes!$BR$65:$BR$148),IF(I42&lt;LOOKUP($A42,Barèmes!$AB$65:$AB$148,Barèmes!$BO$65:$BO$148),LOOKUP($A42,Barèmes!$AB$65:$AB$148,Barèmes!$BS$65:$BS$148),LOOKUP($A42,Barèmes!$AB$65:$AB$148,Barèmes!$BT$65:$BT$148)))),IF($Y42=2,IF(I42&lt;LOOKUP($A42,Barèmes!$AB$65:$AB$148,Barèmes!$BW$65:$BW$148),LOOKUP($A42,Barèmes!$AB$65:$AB$148,Barèmes!$CA$65:$CA$148),IF(I42&lt;LOOKUP($A42,Barèmes!$AB$65:$AB$148,Barèmes!$BX$65:$BX$148),LOOKUP($A42,Barèmes!$AB$65:$AB$148,Barèmes!$CB$65:$CB$148),IF(I42&lt;LOOKUP($A42,Barèmes!$AB$65:$AB$148,Barèmes!$BY$65:$BY$148),LOOKUP($A42,Barèmes!$AB$65:$AB$148,Barèmes!$CC$65:$CC183),LOOKUP($A42,Barèmes!$AB$65:$AB$148,Barèmes!$CD$65:$CD$148))))))</f>
        <v>9.0999999999999998E-2</v>
      </c>
    </row>
    <row r="43" spans="1:26" x14ac:dyDescent="0.25">
      <c r="A43" s="15">
        <f>B43+Simulation!$D$4</f>
        <v>2053</v>
      </c>
      <c r="B43" s="19">
        <v>53</v>
      </c>
      <c r="C43" s="77">
        <f>IF(AND($B43&gt;=Simulation!$D$5,$B43&lt;Simulation!$D$6),IF(Simulation!$D$3=1,LOOKUP($B43,Info_cas_type!$B$5:$B$55,Info_cas_type!$C$5:$C$55)*LOOKUP($A43,Barèmes!$A$65:$A$148,Barèmes!$D$65:$D$148),IF(Simulation!$D$3=2,LOOKUP($B43,Info_cas_type!$B$5:$B$55,Info_cas_type!$D$5:$D$55)*LOOKUP($A43,Barèmes!$A$65:$A$148,Barèmes!$D$65:$D$148),IF(Simulation!$D$3="2P",LOOKUP($B43,Info_cas_type!$B$5:$B$55,Info_cas_type!$E$5:$E$55)*LOOKUP($A43,Barèmes!$A$65:$A$148,Barèmes!$D$65:$D$148),IF(Simulation!$D$3="2M",LOOKUP($B43,Info_cas_type!$B$5:$B$55,Info_cas_type!$F$5:$F$55)*LOOKUP($A43,Barèmes!$A$65:$A$148,Barèmes!$D$65:$D$148),IF(Simulation!$D$3="SMIC",LOOKUP($A43,Barèmes!$A$65:$A$148,Barèmes!$F$65:$F$148),LOOKUP($B43,Info_cas_type!$B$5:$B$55,Info_cas_type!$G$5:$G$55)*LOOKUP($A43,Barèmes!$A$65:$A$148,Barèmes!$D$65:$D$148)))))),0)*LOOKUP($B43,Info_cas_type!$B$5:$B$55,Info_cas_type!$H$5:$H$55)</f>
        <v>91642.545705815952</v>
      </c>
      <c r="D43" s="56">
        <f>MIN($C43,LOOKUP($A43,Barèmes!$A$65:$A$148,Barèmes!$V$65:$V$148))</f>
        <v>91642.545705815952</v>
      </c>
      <c r="E43" s="56">
        <f>MIN(F43,7*LOOKUP($A43,Barèmes!$A$65:$A$148,Barèmes!$V$65:$V$148))</f>
        <v>0</v>
      </c>
      <c r="F43" s="56">
        <f>IF($C43&gt;LOOKUP($A43,Barèmes!$A$65:$A$148,Barèmes!$V$65:$V$148),($C43-LOOKUP($A43,Barèmes!$A$65:$A$148,Barèmes!$V$65:$V$148)),0)</f>
        <v>0</v>
      </c>
      <c r="H43" s="81">
        <f t="shared" si="0"/>
        <v>72544.37664454247</v>
      </c>
      <c r="I43" s="56">
        <f>H43+LOOKUP($A43,Barèmes!$A$5:$A$148,Barèmes!$CK$5:$CK$148)*C43*(LOOKUP($A43,Barèmes!$CG$65:$CG$148,Barèmes!$CH$65:$CH$148)-LOOKUP($A43,Barèmes!$CG$65:$CG$148,Barèmes!$CI$65:$CI$148))</f>
        <v>74705.307872285615</v>
      </c>
      <c r="K43" s="320">
        <f>LOOKUP($A43,Barèmes!$A$65:$A$148,Barèmes!$K$65:$K$148)-LOOKUP($A43,Barèmes!$A$65:$A$148,Barèmes!$L$65:$L$148)+(LOOKUP($A43,Barèmes!$A$65:$A$148,Barèmes!$AC$65:$AC$148)-LOOKUP($A43,Barèmes!$A$65:$A$148,Barèmes!$AD$65:$AD$148))*LOOKUP($A43,Barèmes!$A$65:$A$148,Barèmes!$AI$65:$AI$148)+LOOKUP($A43,Barèmes!$A$65:$A$148,Barèmes!$AQ$65:$AQ$148)-LOOKUP($A43,Barèmes!$A$65:$A$148,Barèmes!$AR$65:$AR$148)+LOOKUP($A43,Barèmes!$A$65:$A$148,Barèmes!$CL$65:$CL$148)+LOOKUP($A43,Barèmes!$A$65:$A$148,Barèmes!$CM$65:$CM$148)+LOOKUP($A43,Barèmes!$A$5:$A$148,Barèmes!$CK$5:$CK$148)*(LOOKUP($A43,Barèmes!$A$65:$A$148,Barèmes!$CH$65:$CH$148)+LOOKUP($A43,Barèmes!$A$65:$A$148,Barèmes!$CJ$65:$CJ$148))</f>
        <v>0.20839849999999999</v>
      </c>
      <c r="L43" s="320">
        <f>K43+LOOKUP($A43,Barèmes!$A$65:$A$148,Barèmes!$AL$65:$AL$148)-LOOKUP($A43,Barèmes!$A$65:$A$148,Barèmes!$AM$65:$AM$148)+IF($A43&gt;2010,LOOKUP($A43,Barèmes!$CG$5:$CG$148,Barèmes!$CO$5:$CO$148),0)</f>
        <v>0.21003849999999999</v>
      </c>
      <c r="M43" s="320">
        <f>(LOOKUP($A43,Barèmes!$A$65:$A$148,Barèmes!$AF$65:$AF$148)-LOOKUP($A43,Barèmes!$A$65:$A$148,Barèmes!$AG$65:$AG$148))*LOOKUP($A43,Barèmes!$A$65:$A$148,Barèmes!$AI$65:$AI$148)+LOOKUP($A43,Barèmes!$A$65:$A$148,Barèmes!$AL$65:$AL$148)-LOOKUP($A43,Barèmes!$A$65:$A$148,Barèmes!$AM$65:$AM$148)+LOOKUP($A43,Barèmes!$A$65:$A$148,Barèmes!$AV$65:$AV$148)-LOOKUP($A43,Barèmes!$A$65:$A$148,Barèmes!$AW$65:$AW$148)+LOOKUP($A43,Barèmes!$A$65:$A$148,Barèmes!$CN$65:$CN$148)+LOOKUP($A43,Barèmes!$A$65:$A$148,Barèmes!$CO$65:$CO$148)</f>
        <v>9.8799999999999999E-2</v>
      </c>
      <c r="N43" s="320">
        <f>LOOKUP($A43,Barèmes!$A$65:$A$148,Barèmes!$N$65:$N$148)-LOOKUP($A43,Barèmes!$A$65:$A$148,Barèmes!O101:O184)+0.9825*LOOKUP($A43,Barèmes!$A$65:$A$148,Barèmes!$CH$65:$CH$148)+0.9825*LOOKUP($A43,Barèmes!$A$65:$A$148,Barèmes!$CJ$65:$CJ$148)+LOOKUP($A43,Barèmes!$A$65:$A$148,Barèmes!$CL$65:$CL$148)</f>
        <v>9.9302500000000002E-2</v>
      </c>
      <c r="P43" s="321">
        <f>C43/LOOKUP($A43,Barèmes!$A$65:$A$148,Barèmes!$C$65:$C$148)</f>
        <v>53517.022020521028</v>
      </c>
      <c r="Q43" s="321">
        <f>H43/LOOKUP($A43,Barèmes!$A$65:$A$148,Barèmes!$C$65:$C$148)</f>
        <v>42364.154906977477</v>
      </c>
      <c r="R43" s="321">
        <f>I43/LOOKUP($A43,Barèmes!$A$65:$A$148,Barèmes!$C$65:$C$148)</f>
        <v>43626.086286221369</v>
      </c>
      <c r="T43" s="321">
        <f>C43/LOOKUP($A43,Barèmes!$A$65:$A$148,Barèmes!$G$65:$G$148)</f>
        <v>34087.675992486911</v>
      </c>
      <c r="U43" s="321">
        <f>H43/LOOKUP($A43,Barèmes!$A$65:$A$148,Barèmes!$G$65:$G$148)</f>
        <v>26983.855447166632</v>
      </c>
      <c r="V43" s="321">
        <f>I43/LOOKUP($A43,Barèmes!$A$65:$A$148,Barèmes!$G$65:$G$148)</f>
        <v>27787.642847069474</v>
      </c>
      <c r="Y43" s="95">
        <v>1</v>
      </c>
      <c r="Z43" s="280">
        <f>IF($Y43=1,IF(I43&lt;LOOKUP($A43,Barèmes!$AB$65:$AB$148,Barèmes!$BM$65:$BM$148),LOOKUP($A43,Barèmes!$AB$65:$AB$148,Barèmes!$BQ$65:$BQ$148),IF(I43&lt;LOOKUP($A43,Barèmes!$AB$65:$AB$148,Barèmes!$BN$65:$BN$148),LOOKUP($A43,Barèmes!$AB$65:$AB$148,Barèmes!$BR$65:$BR$148),IF(I43&lt;LOOKUP($A43,Barèmes!$AB$65:$AB$148,Barèmes!$BO$65:$BO$148),LOOKUP($A43,Barèmes!$AB$65:$AB$148,Barèmes!$BS$65:$BS$148),LOOKUP($A43,Barèmes!$AB$65:$AB$148,Barèmes!$BT$65:$BT$148)))),IF($Y43=2,IF(I43&lt;LOOKUP($A43,Barèmes!$AB$65:$AB$148,Barèmes!$BW$65:$BW$148),LOOKUP($A43,Barèmes!$AB$65:$AB$148,Barèmes!$CA$65:$CA$148),IF(I43&lt;LOOKUP($A43,Barèmes!$AB$65:$AB$148,Barèmes!$BX$65:$BX$148),LOOKUP($A43,Barèmes!$AB$65:$AB$148,Barèmes!$CB$65:$CB$148),IF(I43&lt;LOOKUP($A43,Barèmes!$AB$65:$AB$148,Barèmes!$BY$65:$BY$148),LOOKUP($A43,Barèmes!$AB$65:$AB$148,Barèmes!$CC$65:$CC184),LOOKUP($A43,Barèmes!$AB$65:$AB$148,Barèmes!$CD$65:$CD$148))))))</f>
        <v>9.0999999999999998E-2</v>
      </c>
    </row>
    <row r="44" spans="1:26" x14ac:dyDescent="0.25">
      <c r="A44" s="15">
        <f>B44+Simulation!$D$4</f>
        <v>2054</v>
      </c>
      <c r="B44" s="19">
        <v>54</v>
      </c>
      <c r="C44" s="77">
        <f>IF(AND($B44&gt;=Simulation!$D$5,$B44&lt;Simulation!$D$6),IF(Simulation!$D$3=1,LOOKUP($B44,Info_cas_type!$B$5:$B$55,Info_cas_type!$C$5:$C$55)*LOOKUP($A44,Barèmes!$A$65:$A$148,Barèmes!$D$65:$D$148),IF(Simulation!$D$3=2,LOOKUP($B44,Info_cas_type!$B$5:$B$55,Info_cas_type!$D$5:$D$55)*LOOKUP($A44,Barèmes!$A$65:$A$148,Barèmes!$D$65:$D$148),IF(Simulation!$D$3="2P",LOOKUP($B44,Info_cas_type!$B$5:$B$55,Info_cas_type!$E$5:$E$55)*LOOKUP($A44,Barèmes!$A$65:$A$148,Barèmes!$D$65:$D$148),IF(Simulation!$D$3="2M",LOOKUP($B44,Info_cas_type!$B$5:$B$55,Info_cas_type!$F$5:$F$55)*LOOKUP($A44,Barèmes!$A$65:$A$148,Barèmes!$D$65:$D$148),IF(Simulation!$D$3="SMIC",LOOKUP($A44,Barèmes!$A$65:$A$148,Barèmes!$F$65:$F$148),LOOKUP($B44,Info_cas_type!$B$5:$B$55,Info_cas_type!$G$5:$G$55)*LOOKUP($A44,Barèmes!$A$65:$A$148,Barèmes!$D$65:$D$148)))))),0)*LOOKUP($B44,Info_cas_type!$B$5:$B$55,Info_cas_type!$H$5:$H$55)</f>
        <v>93424.22351496901</v>
      </c>
      <c r="D44" s="56">
        <f>MIN($C44,LOOKUP($A44,Barèmes!$A$65:$A$148,Barèmes!$V$65:$V$148))</f>
        <v>93424.22351496901</v>
      </c>
      <c r="E44" s="56">
        <f>MIN(F44,7*LOOKUP($A44,Barèmes!$A$65:$A$148,Barèmes!$V$65:$V$148))</f>
        <v>0</v>
      </c>
      <c r="F44" s="56">
        <f>IF($C44&gt;LOOKUP($A44,Barèmes!$A$65:$A$148,Barèmes!$V$65:$V$148),($C44-LOOKUP($A44,Barèmes!$A$65:$A$148,Barèmes!$V$65:$V$148)),0)</f>
        <v>0</v>
      </c>
      <c r="H44" s="81">
        <f t="shared" si="0"/>
        <v>73954.755470784745</v>
      </c>
      <c r="I44" s="56">
        <f>H44+LOOKUP($A44,Barèmes!$A$5:$A$148,Barèmes!$CK$5:$CK$148)*C44*(LOOKUP($A44,Barèmes!$CG$65:$CG$148,Barèmes!$CH$65:$CH$148)-LOOKUP($A44,Barèmes!$CG$65:$CG$148,Barèmes!$CI$65:$CI$148))</f>
        <v>76157.698661267714</v>
      </c>
      <c r="K44" s="320">
        <f>LOOKUP($A44,Barèmes!$A$65:$A$148,Barèmes!$K$65:$K$148)-LOOKUP($A44,Barèmes!$A$65:$A$148,Barèmes!$L$65:$L$148)+(LOOKUP($A44,Barèmes!$A$65:$A$148,Barèmes!$AC$65:$AC$148)-LOOKUP($A44,Barèmes!$A$65:$A$148,Barèmes!$AD$65:$AD$148))*LOOKUP($A44,Barèmes!$A$65:$A$148,Barèmes!$AI$65:$AI$148)+LOOKUP($A44,Barèmes!$A$65:$A$148,Barèmes!$AQ$65:$AQ$148)-LOOKUP($A44,Barèmes!$A$65:$A$148,Barèmes!$AR$65:$AR$148)+LOOKUP($A44,Barèmes!$A$65:$A$148,Barèmes!$CL$65:$CL$148)+LOOKUP($A44,Barèmes!$A$65:$A$148,Barèmes!$CM$65:$CM$148)+LOOKUP($A44,Barèmes!$A$5:$A$148,Barèmes!$CK$5:$CK$148)*(LOOKUP($A44,Barèmes!$A$65:$A$148,Barèmes!$CH$65:$CH$148)+LOOKUP($A44,Barèmes!$A$65:$A$148,Barèmes!$CJ$65:$CJ$148))</f>
        <v>0.20839849999999999</v>
      </c>
      <c r="L44" s="320">
        <f>K44+LOOKUP($A44,Barèmes!$A$65:$A$148,Barèmes!$AL$65:$AL$148)-LOOKUP($A44,Barèmes!$A$65:$A$148,Barèmes!$AM$65:$AM$148)+IF($A44&gt;2010,LOOKUP($A44,Barèmes!$CG$5:$CG$148,Barèmes!$CO$5:$CO$148),0)</f>
        <v>0.21003849999999999</v>
      </c>
      <c r="M44" s="320">
        <f>(LOOKUP($A44,Barèmes!$A$65:$A$148,Barèmes!$AF$65:$AF$148)-LOOKUP($A44,Barèmes!$A$65:$A$148,Barèmes!$AG$65:$AG$148))*LOOKUP($A44,Barèmes!$A$65:$A$148,Barèmes!$AI$65:$AI$148)+LOOKUP($A44,Barèmes!$A$65:$A$148,Barèmes!$AL$65:$AL$148)-LOOKUP($A44,Barèmes!$A$65:$A$148,Barèmes!$AM$65:$AM$148)+LOOKUP($A44,Barèmes!$A$65:$A$148,Barèmes!$AV$65:$AV$148)-LOOKUP($A44,Barèmes!$A$65:$A$148,Barèmes!$AW$65:$AW$148)+LOOKUP($A44,Barèmes!$A$65:$A$148,Barèmes!$CN$65:$CN$148)+LOOKUP($A44,Barèmes!$A$65:$A$148,Barèmes!$CO$65:$CO$148)</f>
        <v>9.8799999999999999E-2</v>
      </c>
      <c r="N44" s="320">
        <f>LOOKUP($A44,Barèmes!$A$65:$A$148,Barèmes!$N$65:$N$148)-LOOKUP($A44,Barèmes!$A$65:$A$148,Barèmes!O102:O185)+0.9825*LOOKUP($A44,Barèmes!$A$65:$A$148,Barèmes!$CH$65:$CH$148)+0.9825*LOOKUP($A44,Barèmes!$A$65:$A$148,Barèmes!$CJ$65:$CJ$148)+LOOKUP($A44,Barèmes!$A$65:$A$148,Barèmes!$CL$65:$CL$148)</f>
        <v>9.9302500000000002E-2</v>
      </c>
      <c r="P44" s="321">
        <f>C44/LOOKUP($A44,Barèmes!$A$65:$A$148,Barèmes!$C$65:$C$148)</f>
        <v>53619.143596940849</v>
      </c>
      <c r="Q44" s="321">
        <f>H44/LOOKUP($A44,Barèmes!$A$65:$A$148,Barèmes!$C$65:$C$148)</f>
        <v>42444.994500053777</v>
      </c>
      <c r="R44" s="321">
        <f>I44/LOOKUP($A44,Barèmes!$A$65:$A$148,Barèmes!$C$65:$C$148)</f>
        <v>43709.333906069638</v>
      </c>
      <c r="T44" s="321">
        <f>C44/LOOKUP($A44,Barèmes!$A$65:$A$148,Barèmes!$G$65:$G$148)</f>
        <v>33714.434696358599</v>
      </c>
      <c r="U44" s="321">
        <f>H44/LOOKUP($A44,Barèmes!$A$65:$A$148,Barèmes!$G$65:$G$148)</f>
        <v>26688.397077289515</v>
      </c>
      <c r="V44" s="321">
        <f>I44/LOOKUP($A44,Barèmes!$A$65:$A$148,Barèmes!$G$65:$G$148)</f>
        <v>27483.383447429649</v>
      </c>
      <c r="Y44" s="95">
        <v>1</v>
      </c>
      <c r="Z44" s="280">
        <f>IF($Y44=1,IF(I44&lt;LOOKUP($A44,Barèmes!$AB$65:$AB$148,Barèmes!$BM$65:$BM$148),LOOKUP($A44,Barèmes!$AB$65:$AB$148,Barèmes!$BQ$65:$BQ$148),IF(I44&lt;LOOKUP($A44,Barèmes!$AB$65:$AB$148,Barèmes!$BN$65:$BN$148),LOOKUP($A44,Barèmes!$AB$65:$AB$148,Barèmes!$BR$65:$BR$148),IF(I44&lt;LOOKUP($A44,Barèmes!$AB$65:$AB$148,Barèmes!$BO$65:$BO$148),LOOKUP($A44,Barèmes!$AB$65:$AB$148,Barèmes!$BS$65:$BS$148),LOOKUP($A44,Barèmes!$AB$65:$AB$148,Barèmes!$BT$65:$BT$148)))),IF($Y44=2,IF(I44&lt;LOOKUP($A44,Barèmes!$AB$65:$AB$148,Barèmes!$BW$65:$BW$148),LOOKUP($A44,Barèmes!$AB$65:$AB$148,Barèmes!$CA$65:$CA$148),IF(I44&lt;LOOKUP($A44,Barèmes!$AB$65:$AB$148,Barèmes!$BX$65:$BX$148),LOOKUP($A44,Barèmes!$AB$65:$AB$148,Barèmes!$CB$65:$CB$148),IF(I44&lt;LOOKUP($A44,Barèmes!$AB$65:$AB$148,Barèmes!$BY$65:$BY$148),LOOKUP($A44,Barèmes!$AB$65:$AB$148,Barèmes!$CC$65:$CC185),LOOKUP($A44,Barèmes!$AB$65:$AB$148,Barèmes!$CD$65:$CD$148))))))</f>
        <v>9.0999999999999998E-2</v>
      </c>
    </row>
    <row r="45" spans="1:26" x14ac:dyDescent="0.25">
      <c r="A45" s="15">
        <f>B45+Simulation!$D$4</f>
        <v>2055</v>
      </c>
      <c r="B45" s="19">
        <v>55</v>
      </c>
      <c r="C45" s="77">
        <f>IF(AND($B45&gt;=Simulation!$D$5,$B45&lt;Simulation!$D$6),IF(Simulation!$D$3=1,LOOKUP($B45,Info_cas_type!$B$5:$B$55,Info_cas_type!$C$5:$C$55)*LOOKUP($A45,Barèmes!$A$65:$A$148,Barèmes!$D$65:$D$148),IF(Simulation!$D$3=2,LOOKUP($B45,Info_cas_type!$B$5:$B$55,Info_cas_type!$D$5:$D$55)*LOOKUP($A45,Barèmes!$A$65:$A$148,Barèmes!$D$65:$D$148),IF(Simulation!$D$3="2P",LOOKUP($B45,Info_cas_type!$B$5:$B$55,Info_cas_type!$E$5:$E$55)*LOOKUP($A45,Barèmes!$A$65:$A$148,Barèmes!$D$65:$D$148),IF(Simulation!$D$3="2M",LOOKUP($B45,Info_cas_type!$B$5:$B$55,Info_cas_type!$F$5:$F$55)*LOOKUP($A45,Barèmes!$A$65:$A$148,Barèmes!$D$65:$D$148),IF(Simulation!$D$3="SMIC",LOOKUP($A45,Barèmes!$A$65:$A$148,Barèmes!$F$65:$F$148),LOOKUP($B45,Info_cas_type!$B$5:$B$55,Info_cas_type!$G$5:$G$55)*LOOKUP($A45,Barèmes!$A$65:$A$148,Barèmes!$D$65:$D$148)))))),0)*LOOKUP($B45,Info_cas_type!$B$5:$B$55,Info_cas_type!$H$5:$H$55)</f>
        <v>96347.954372394786</v>
      </c>
      <c r="D45" s="56">
        <f>MIN($C45,LOOKUP($A45,Barèmes!$A$65:$A$148,Barèmes!$V$65:$V$148))</f>
        <v>96347.954372394786</v>
      </c>
      <c r="E45" s="56">
        <f>MIN(F45,7*LOOKUP($A45,Barèmes!$A$65:$A$148,Barèmes!$V$65:$V$148))</f>
        <v>0</v>
      </c>
      <c r="F45" s="56">
        <f>IF($C45&gt;LOOKUP($A45,Barèmes!$A$65:$A$148,Barèmes!$V$65:$V$148),($C45-LOOKUP($A45,Barèmes!$A$65:$A$148,Barèmes!$V$65:$V$148)),0)</f>
        <v>0</v>
      </c>
      <c r="H45" s="81">
        <f t="shared" si="0"/>
        <v>76269.185203119283</v>
      </c>
      <c r="I45" s="56">
        <f>H45+LOOKUP($A45,Barèmes!$A$5:$A$148,Barèmes!$CK$5:$CK$148)*C45*(LOOKUP($A45,Barèmes!$CG$65:$CG$148,Barèmes!$CH$65:$CH$148)-LOOKUP($A45,Barèmes!$CG$65:$CG$148,Barèmes!$CI$65:$CI$148))</f>
        <v>78541.069967220348</v>
      </c>
      <c r="K45" s="320">
        <f>LOOKUP($A45,Barèmes!$A$65:$A$148,Barèmes!$K$65:$K$148)-LOOKUP($A45,Barèmes!$A$65:$A$148,Barèmes!$L$65:$L$148)+(LOOKUP($A45,Barèmes!$A$65:$A$148,Barèmes!$AC$65:$AC$148)-LOOKUP($A45,Barèmes!$A$65:$A$148,Barèmes!$AD$65:$AD$148))*LOOKUP($A45,Barèmes!$A$65:$A$148,Barèmes!$AI$65:$AI$148)+LOOKUP($A45,Barèmes!$A$65:$A$148,Barèmes!$AQ$65:$AQ$148)-LOOKUP($A45,Barèmes!$A$65:$A$148,Barèmes!$AR$65:$AR$148)+LOOKUP($A45,Barèmes!$A$65:$A$148,Barèmes!$CL$65:$CL$148)+LOOKUP($A45,Barèmes!$A$65:$A$148,Barèmes!$CM$65:$CM$148)+LOOKUP($A45,Barèmes!$A$5:$A$148,Barèmes!$CK$5:$CK$148)*(LOOKUP($A45,Barèmes!$A$65:$A$148,Barèmes!$CH$65:$CH$148)+LOOKUP($A45,Barèmes!$A$65:$A$148,Barèmes!$CJ$65:$CJ$148))</f>
        <v>0.20839849999999999</v>
      </c>
      <c r="L45" s="320">
        <f>K45+LOOKUP($A45,Barèmes!$A$65:$A$148,Barèmes!$AL$65:$AL$148)-LOOKUP($A45,Barèmes!$A$65:$A$148,Barèmes!$AM$65:$AM$148)+IF($A45&gt;2010,LOOKUP($A45,Barèmes!$CG$5:$CG$148,Barèmes!$CO$5:$CO$148),0)</f>
        <v>0.21003849999999999</v>
      </c>
      <c r="M45" s="320">
        <f>(LOOKUP($A45,Barèmes!$A$65:$A$148,Barèmes!$AF$65:$AF$148)-LOOKUP($A45,Barèmes!$A$65:$A$148,Barèmes!$AG$65:$AG$148))*LOOKUP($A45,Barèmes!$A$65:$A$148,Barèmes!$AI$65:$AI$148)+LOOKUP($A45,Barèmes!$A$65:$A$148,Barèmes!$AL$65:$AL$148)-LOOKUP($A45,Barèmes!$A$65:$A$148,Barèmes!$AM$65:$AM$148)+LOOKUP($A45,Barèmes!$A$65:$A$148,Barèmes!$AV$65:$AV$148)-LOOKUP($A45,Barèmes!$A$65:$A$148,Barèmes!$AW$65:$AW$148)+LOOKUP($A45,Barèmes!$A$65:$A$148,Barèmes!$CN$65:$CN$148)+LOOKUP($A45,Barèmes!$A$65:$A$148,Barèmes!$CO$65:$CO$148)</f>
        <v>9.8799999999999999E-2</v>
      </c>
      <c r="N45" s="320">
        <f>LOOKUP($A45,Barèmes!$A$65:$A$148,Barèmes!$N$65:$N$148)-LOOKUP($A45,Barèmes!$A$65:$A$148,Barèmes!O103:O186)+0.9825*LOOKUP($A45,Barèmes!$A$65:$A$148,Barèmes!$CH$65:$CH$148)+0.9825*LOOKUP($A45,Barèmes!$A$65:$A$148,Barèmes!$CJ$65:$CJ$148)+LOOKUP($A45,Barèmes!$A$65:$A$148,Barèmes!$CL$65:$CL$148)</f>
        <v>9.9302500000000002E-2</v>
      </c>
      <c r="P45" s="321">
        <f>C45/LOOKUP($A45,Barèmes!$A$65:$A$148,Barèmes!$C$65:$C$148)</f>
        <v>54346.109139684995</v>
      </c>
      <c r="Q45" s="321">
        <f>H45/LOOKUP($A45,Barèmes!$A$65:$A$148,Barèmes!$C$65:$C$148)</f>
        <v>43020.461514138362</v>
      </c>
      <c r="R45" s="321">
        <f>I45/LOOKUP($A45,Barèmes!$A$65:$A$148,Barèmes!$C$65:$C$148)</f>
        <v>44301.94276765213</v>
      </c>
      <c r="T45" s="321">
        <f>C45/LOOKUP($A45,Barèmes!$A$65:$A$148,Barèmes!$G$65:$G$148)</f>
        <v>33733.004183155121</v>
      </c>
      <c r="U45" s="321">
        <f>H45/LOOKUP($A45,Barèmes!$A$65:$A$148,Barèmes!$G$65:$G$148)</f>
        <v>26703.096710891874</v>
      </c>
      <c r="V45" s="321">
        <f>I45/LOOKUP($A45,Barèmes!$A$65:$A$148,Barèmes!$G$65:$G$148)</f>
        <v>27498.52094953067</v>
      </c>
      <c r="Y45" s="95">
        <v>1</v>
      </c>
      <c r="Z45" s="280">
        <f>IF($Y45=1,IF(I45&lt;LOOKUP($A45,Barèmes!$AB$65:$AB$148,Barèmes!$BM$65:$BM$148),LOOKUP($A45,Barèmes!$AB$65:$AB$148,Barèmes!$BQ$65:$BQ$148),IF(I45&lt;LOOKUP($A45,Barèmes!$AB$65:$AB$148,Barèmes!$BN$65:$BN$148),LOOKUP($A45,Barèmes!$AB$65:$AB$148,Barèmes!$BR$65:$BR$148),IF(I45&lt;LOOKUP($A45,Barèmes!$AB$65:$AB$148,Barèmes!$BO$65:$BO$148),LOOKUP($A45,Barèmes!$AB$65:$AB$148,Barèmes!$BS$65:$BS$148),LOOKUP($A45,Barèmes!$AB$65:$AB$148,Barèmes!$BT$65:$BT$148)))),IF($Y45=2,IF(I45&lt;LOOKUP($A45,Barèmes!$AB$65:$AB$148,Barèmes!$BW$65:$BW$148),LOOKUP($A45,Barèmes!$AB$65:$AB$148,Barèmes!$CA$65:$CA$148),IF(I45&lt;LOOKUP($A45,Barèmes!$AB$65:$AB$148,Barèmes!$BX$65:$BX$148),LOOKUP($A45,Barèmes!$AB$65:$AB$148,Barèmes!$CB$65:$CB$148),IF(I45&lt;LOOKUP($A45,Barèmes!$AB$65:$AB$148,Barèmes!$BY$65:$BY$148),LOOKUP($A45,Barèmes!$AB$65:$AB$148,Barèmes!$CC$65:$CC186),LOOKUP($A45,Barèmes!$AB$65:$AB$148,Barèmes!$CD$65:$CD$148))))))</f>
        <v>9.0999999999999998E-2</v>
      </c>
    </row>
    <row r="46" spans="1:26" x14ac:dyDescent="0.25">
      <c r="A46" s="15">
        <f>B46+Simulation!$D$4</f>
        <v>2056</v>
      </c>
      <c r="B46" s="19">
        <v>56</v>
      </c>
      <c r="C46" s="77">
        <f>IF(AND($B46&gt;=Simulation!$D$5,$B46&lt;Simulation!$D$6),IF(Simulation!$D$3=1,LOOKUP($B46,Info_cas_type!$B$5:$B$55,Info_cas_type!$C$5:$C$55)*LOOKUP($A46,Barèmes!$A$65:$A$148,Barèmes!$D$65:$D$148),IF(Simulation!$D$3=2,LOOKUP($B46,Info_cas_type!$B$5:$B$55,Info_cas_type!$D$5:$D$55)*LOOKUP($A46,Barèmes!$A$65:$A$148,Barèmes!$D$65:$D$148),IF(Simulation!$D$3="2P",LOOKUP($B46,Info_cas_type!$B$5:$B$55,Info_cas_type!$E$5:$E$55)*LOOKUP($A46,Barèmes!$A$65:$A$148,Barèmes!$D$65:$D$148),IF(Simulation!$D$3="2M",LOOKUP($B46,Info_cas_type!$B$5:$B$55,Info_cas_type!$F$5:$F$55)*LOOKUP($A46,Barèmes!$A$65:$A$148,Barèmes!$D$65:$D$148),IF(Simulation!$D$3="SMIC",LOOKUP($A46,Barèmes!$A$65:$A$148,Barèmes!$F$65:$F$148),LOOKUP($B46,Info_cas_type!$B$5:$B$55,Info_cas_type!$G$5:$G$55)*LOOKUP($A46,Barèmes!$A$65:$A$148,Barèmes!$D$65:$D$148)))))),0)*LOOKUP($B46,Info_cas_type!$B$5:$B$55,Info_cas_type!$H$5:$H$55)</f>
        <v>97430.297528749768</v>
      </c>
      <c r="D46" s="56">
        <f>MIN($C46,LOOKUP($A46,Barèmes!$A$65:$A$148,Barèmes!$V$65:$V$148))</f>
        <v>97430.297528749768</v>
      </c>
      <c r="E46" s="56">
        <f>MIN(F46,7*LOOKUP($A46,Barèmes!$A$65:$A$148,Barèmes!$V$65:$V$148))</f>
        <v>0</v>
      </c>
      <c r="F46" s="56">
        <f>IF($C46&gt;LOOKUP($A46,Barèmes!$A$65:$A$148,Barèmes!$V$65:$V$148),($C46-LOOKUP($A46,Barèmes!$A$65:$A$148,Barèmes!$V$65:$V$148)),0)</f>
        <v>0</v>
      </c>
      <c r="H46" s="81">
        <f t="shared" si="0"/>
        <v>77125.969669204613</v>
      </c>
      <c r="I46" s="56">
        <f>H46+LOOKUP($A46,Barèmes!$A$5:$A$148,Barèmes!$CK$5:$CK$148)*C46*(LOOKUP($A46,Barèmes!$CG$65:$CG$148,Barèmes!$CH$65:$CH$148)-LOOKUP($A46,Barèmes!$CG$65:$CG$148,Barèmes!$CI$65:$CI$148))</f>
        <v>79423.376084932534</v>
      </c>
      <c r="K46" s="320">
        <f>LOOKUP($A46,Barèmes!$A$65:$A$148,Barèmes!$K$65:$K$148)-LOOKUP($A46,Barèmes!$A$65:$A$148,Barèmes!$L$65:$L$148)+(LOOKUP($A46,Barèmes!$A$65:$A$148,Barèmes!$AC$65:$AC$148)-LOOKUP($A46,Barèmes!$A$65:$A$148,Barèmes!$AD$65:$AD$148))*LOOKUP($A46,Barèmes!$A$65:$A$148,Barèmes!$AI$65:$AI$148)+LOOKUP($A46,Barèmes!$A$65:$A$148,Barèmes!$AQ$65:$AQ$148)-LOOKUP($A46,Barèmes!$A$65:$A$148,Barèmes!$AR$65:$AR$148)+LOOKUP($A46,Barèmes!$A$65:$A$148,Barèmes!$CL$65:$CL$148)+LOOKUP($A46,Barèmes!$A$65:$A$148,Barèmes!$CM$65:$CM$148)+LOOKUP($A46,Barèmes!$A$5:$A$148,Barèmes!$CK$5:$CK$148)*(LOOKUP($A46,Barèmes!$A$65:$A$148,Barèmes!$CH$65:$CH$148)+LOOKUP($A46,Barèmes!$A$65:$A$148,Barèmes!$CJ$65:$CJ$148))</f>
        <v>0.20839849999999999</v>
      </c>
      <c r="L46" s="320">
        <f>K46+LOOKUP($A46,Barèmes!$A$65:$A$148,Barèmes!$AL$65:$AL$148)-LOOKUP($A46,Barèmes!$A$65:$A$148,Barèmes!$AM$65:$AM$148)+IF($A46&gt;2010,LOOKUP($A46,Barèmes!$CG$5:$CG$148,Barèmes!$CO$5:$CO$148),0)</f>
        <v>0.21003849999999999</v>
      </c>
      <c r="M46" s="320">
        <f>(LOOKUP($A46,Barèmes!$A$65:$A$148,Barèmes!$AF$65:$AF$148)-LOOKUP($A46,Barèmes!$A$65:$A$148,Barèmes!$AG$65:$AG$148))*LOOKUP($A46,Barèmes!$A$65:$A$148,Barèmes!$AI$65:$AI$148)+LOOKUP($A46,Barèmes!$A$65:$A$148,Barèmes!$AL$65:$AL$148)-LOOKUP($A46,Barèmes!$A$65:$A$148,Barèmes!$AM$65:$AM$148)+LOOKUP($A46,Barèmes!$A$65:$A$148,Barèmes!$AV$65:$AV$148)-LOOKUP($A46,Barèmes!$A$65:$A$148,Barèmes!$AW$65:$AW$148)+LOOKUP($A46,Barèmes!$A$65:$A$148,Barèmes!$CN$65:$CN$148)+LOOKUP($A46,Barèmes!$A$65:$A$148,Barèmes!$CO$65:$CO$148)</f>
        <v>9.8799999999999999E-2</v>
      </c>
      <c r="N46" s="320">
        <f>LOOKUP($A46,Barèmes!$A$65:$A$148,Barèmes!$N$65:$N$148)-LOOKUP($A46,Barèmes!$A$65:$A$148,Barèmes!O104:O187)+0.9825*LOOKUP($A46,Barèmes!$A$65:$A$148,Barèmes!$CH$65:$CH$148)+0.9825*LOOKUP($A46,Barèmes!$A$65:$A$148,Barèmes!$CJ$65:$CJ$148)+LOOKUP($A46,Barèmes!$A$65:$A$148,Barèmes!$CL$65:$CL$148)</f>
        <v>9.9302500000000002E-2</v>
      </c>
      <c r="P46" s="321">
        <f>C46/LOOKUP($A46,Barèmes!$A$65:$A$148,Barèmes!$C$65:$C$148)</f>
        <v>54011.416748482283</v>
      </c>
      <c r="Q46" s="321">
        <f>H46/LOOKUP($A46,Barèmes!$A$65:$A$148,Barèmes!$C$65:$C$148)</f>
        <v>42755.518515223695</v>
      </c>
      <c r="R46" s="321">
        <f>I46/LOOKUP($A46,Barèmes!$A$65:$A$148,Barèmes!$C$65:$C$148)</f>
        <v>44029.107722152912</v>
      </c>
      <c r="T46" s="321">
        <f>C46/LOOKUP($A46,Barèmes!$A$65:$A$148,Barèmes!$G$65:$G$148)</f>
        <v>33095.023012008576</v>
      </c>
      <c r="U46" s="321">
        <f>H46/LOOKUP($A46,Barèmes!$A$65:$A$148,Barèmes!$G$65:$G$148)</f>
        <v>26198.069858840507</v>
      </c>
      <c r="V46" s="321">
        <f>I46/LOOKUP($A46,Barèmes!$A$65:$A$148,Barèmes!$G$65:$G$148)</f>
        <v>26978.450501463667</v>
      </c>
      <c r="Y46" s="95">
        <v>1</v>
      </c>
      <c r="Z46" s="280">
        <f>IF($Y46=1,IF(I46&lt;LOOKUP($A46,Barèmes!$AB$65:$AB$148,Barèmes!$BM$65:$BM$148),LOOKUP($A46,Barèmes!$AB$65:$AB$148,Barèmes!$BQ$65:$BQ$148),IF(I46&lt;LOOKUP($A46,Barèmes!$AB$65:$AB$148,Barèmes!$BN$65:$BN$148),LOOKUP($A46,Barèmes!$AB$65:$AB$148,Barèmes!$BR$65:$BR$148),IF(I46&lt;LOOKUP($A46,Barèmes!$AB$65:$AB$148,Barèmes!$BO$65:$BO$148),LOOKUP($A46,Barèmes!$AB$65:$AB$148,Barèmes!$BS$65:$BS$148),LOOKUP($A46,Barèmes!$AB$65:$AB$148,Barèmes!$BT$65:$BT$148)))),IF($Y46=2,IF(I46&lt;LOOKUP($A46,Barèmes!$AB$65:$AB$148,Barèmes!$BW$65:$BW$148),LOOKUP($A46,Barèmes!$AB$65:$AB$148,Barèmes!$CA$65:$CA$148),IF(I46&lt;LOOKUP($A46,Barèmes!$AB$65:$AB$148,Barèmes!$BX$65:$BX$148),LOOKUP($A46,Barèmes!$AB$65:$AB$148,Barèmes!$CB$65:$CB$148),IF(I46&lt;LOOKUP($A46,Barèmes!$AB$65:$AB$148,Barèmes!$BY$65:$BY$148),LOOKUP($A46,Barèmes!$AB$65:$AB$148,Barèmes!$CC$65:$CC187),LOOKUP($A46,Barèmes!$AB$65:$AB$148,Barèmes!$CD$65:$CD$148))))))</f>
        <v>9.0999999999999998E-2</v>
      </c>
    </row>
    <row r="47" spans="1:26" x14ac:dyDescent="0.25">
      <c r="A47" s="15">
        <f>B47+Simulation!$D$4</f>
        <v>2057</v>
      </c>
      <c r="B47" s="19">
        <v>57</v>
      </c>
      <c r="C47" s="77">
        <f>IF(AND($B47&gt;=Simulation!$D$5,$B47&lt;Simulation!$D$6),IF(Simulation!$D$3=1,LOOKUP($B47,Info_cas_type!$B$5:$B$55,Info_cas_type!$C$5:$C$55)*LOOKUP($A47,Barèmes!$A$65:$A$148,Barèmes!$D$65:$D$148),IF(Simulation!$D$3=2,LOOKUP($B47,Info_cas_type!$B$5:$B$55,Info_cas_type!$D$5:$D$55)*LOOKUP($A47,Barèmes!$A$65:$A$148,Barèmes!$D$65:$D$148),IF(Simulation!$D$3="2P",LOOKUP($B47,Info_cas_type!$B$5:$B$55,Info_cas_type!$E$5:$E$55)*LOOKUP($A47,Barèmes!$A$65:$A$148,Barèmes!$D$65:$D$148),IF(Simulation!$D$3="2M",LOOKUP($B47,Info_cas_type!$B$5:$B$55,Info_cas_type!$F$5:$F$55)*LOOKUP($A47,Barèmes!$A$65:$A$148,Barèmes!$D$65:$D$148),IF(Simulation!$D$3="SMIC",LOOKUP($A47,Barèmes!$A$65:$A$148,Barèmes!$F$65:$F$148),LOOKUP($B47,Info_cas_type!$B$5:$B$55,Info_cas_type!$G$5:$G$55)*LOOKUP($A47,Barèmes!$A$65:$A$148,Barèmes!$D$65:$D$148)))))),0)*LOOKUP($B47,Info_cas_type!$B$5:$B$55,Info_cas_type!$H$5:$H$55)</f>
        <v>101414.24795870406</v>
      </c>
      <c r="D47" s="56">
        <f>MIN($C47,LOOKUP($A47,Barèmes!$A$65:$A$148,Barèmes!$V$65:$V$148))</f>
        <v>101414.24795870406</v>
      </c>
      <c r="E47" s="56">
        <f>MIN(F47,7*LOOKUP($A47,Barèmes!$A$65:$A$148,Barèmes!$V$65:$V$148))</f>
        <v>0</v>
      </c>
      <c r="F47" s="56">
        <f>IF($C47&gt;LOOKUP($A47,Barèmes!$A$65:$A$148,Barèmes!$V$65:$V$148),($C47-LOOKUP($A47,Barèmes!$A$65:$A$148,Barèmes!$V$65:$V$148)),0)</f>
        <v>0</v>
      </c>
      <c r="H47" s="81">
        <f t="shared" si="0"/>
        <v>80279.670805482077</v>
      </c>
      <c r="I47" s="56">
        <f>H47+LOOKUP($A47,Barèmes!$A$5:$A$148,Barèmes!$CK$5:$CK$148)*C47*(LOOKUP($A47,Barèmes!$CG$65:$CG$148,Barèmes!$CH$65:$CH$148)-LOOKUP($A47,Barèmes!$CG$65:$CG$148,Barèmes!$CI$65:$CI$148))</f>
        <v>82671.018772348325</v>
      </c>
      <c r="K47" s="320">
        <f>LOOKUP($A47,Barèmes!$A$65:$A$148,Barèmes!$K$65:$K$148)-LOOKUP($A47,Barèmes!$A$65:$A$148,Barèmes!$L$65:$L$148)+(LOOKUP($A47,Barèmes!$A$65:$A$148,Barèmes!$AC$65:$AC$148)-LOOKUP($A47,Barèmes!$A$65:$A$148,Barèmes!$AD$65:$AD$148))*LOOKUP($A47,Barèmes!$A$65:$A$148,Barèmes!$AI$65:$AI$148)+LOOKUP($A47,Barèmes!$A$65:$A$148,Barèmes!$AQ$65:$AQ$148)-LOOKUP($A47,Barèmes!$A$65:$A$148,Barèmes!$AR$65:$AR$148)+LOOKUP($A47,Barèmes!$A$65:$A$148,Barèmes!$CL$65:$CL$148)+LOOKUP($A47,Barèmes!$A$65:$A$148,Barèmes!$CM$65:$CM$148)+LOOKUP($A47,Barèmes!$A$5:$A$148,Barèmes!$CK$5:$CK$148)*(LOOKUP($A47,Barèmes!$A$65:$A$148,Barèmes!$CH$65:$CH$148)+LOOKUP($A47,Barèmes!$A$65:$A$148,Barèmes!$CJ$65:$CJ$148))</f>
        <v>0.20839849999999999</v>
      </c>
      <c r="L47" s="320">
        <f>K47+LOOKUP($A47,Barèmes!$A$65:$A$148,Barèmes!$AL$65:$AL$148)-LOOKUP($A47,Barèmes!$A$65:$A$148,Barèmes!$AM$65:$AM$148)+IF($A47&gt;2010,LOOKUP($A47,Barèmes!$CG$5:$CG$148,Barèmes!$CO$5:$CO$148),0)</f>
        <v>0.21003849999999999</v>
      </c>
      <c r="M47" s="320">
        <f>(LOOKUP($A47,Barèmes!$A$65:$A$148,Barèmes!$AF$65:$AF$148)-LOOKUP($A47,Barèmes!$A$65:$A$148,Barèmes!$AG$65:$AG$148))*LOOKUP($A47,Barèmes!$A$65:$A$148,Barèmes!$AI$65:$AI$148)+LOOKUP($A47,Barèmes!$A$65:$A$148,Barèmes!$AL$65:$AL$148)-LOOKUP($A47,Barèmes!$A$65:$A$148,Barèmes!$AM$65:$AM$148)+LOOKUP($A47,Barèmes!$A$65:$A$148,Barèmes!$AV$65:$AV$148)-LOOKUP($A47,Barèmes!$A$65:$A$148,Barèmes!$AW$65:$AW$148)+LOOKUP($A47,Barèmes!$A$65:$A$148,Barèmes!$CN$65:$CN$148)+LOOKUP($A47,Barèmes!$A$65:$A$148,Barèmes!$CO$65:$CO$148)</f>
        <v>9.8799999999999999E-2</v>
      </c>
      <c r="N47" s="320">
        <f>LOOKUP($A47,Barèmes!$A$65:$A$148,Barèmes!$N$65:$N$148)-LOOKUP($A47,Barèmes!$A$65:$A$148,Barèmes!O105:O188)+0.9825*LOOKUP($A47,Barèmes!$A$65:$A$148,Barèmes!$CH$65:$CH$148)+0.9825*LOOKUP($A47,Barèmes!$A$65:$A$148,Barèmes!$CJ$65:$CJ$148)+LOOKUP($A47,Barèmes!$A$65:$A$148,Barèmes!$CL$65:$CL$148)</f>
        <v>9.9302500000000002E-2</v>
      </c>
      <c r="P47" s="321">
        <f>C47/LOOKUP($A47,Barèmes!$A$65:$A$148,Barèmes!$C$65:$C$148)</f>
        <v>55253.029730690454</v>
      </c>
      <c r="Q47" s="321">
        <f>H47/LOOKUP($A47,Barèmes!$A$65:$A$148,Barèmes!$C$65:$C$148)</f>
        <v>43738.381214359164</v>
      </c>
      <c r="R47" s="321">
        <f>I47/LOOKUP($A47,Barèmes!$A$65:$A$148,Barèmes!$C$65:$C$148)</f>
        <v>45041.24765540885</v>
      </c>
      <c r="T47" s="321">
        <f>C47/LOOKUP($A47,Barèmes!$A$65:$A$148,Barèmes!$G$65:$G$148)</f>
        <v>33421.333171496859</v>
      </c>
      <c r="U47" s="321">
        <f>H47/LOOKUP($A47,Barèmes!$A$65:$A$148,Barèmes!$G$65:$G$148)</f>
        <v>26456.377470556672</v>
      </c>
      <c r="V47" s="321">
        <f>I47/LOOKUP($A47,Barèmes!$A$65:$A$148,Barèmes!$G$65:$G$148)</f>
        <v>27244.45250674057</v>
      </c>
      <c r="Y47" s="95">
        <v>1</v>
      </c>
      <c r="Z47" s="280">
        <f>IF($Y47=1,IF(I47&lt;LOOKUP($A47,Barèmes!$AB$65:$AB$148,Barèmes!$BM$65:$BM$148),LOOKUP($A47,Barèmes!$AB$65:$AB$148,Barèmes!$BQ$65:$BQ$148),IF(I47&lt;LOOKUP($A47,Barèmes!$AB$65:$AB$148,Barèmes!$BN$65:$BN$148),LOOKUP($A47,Barèmes!$AB$65:$AB$148,Barèmes!$BR$65:$BR$148),IF(I47&lt;LOOKUP($A47,Barèmes!$AB$65:$AB$148,Barèmes!$BO$65:$BO$148),LOOKUP($A47,Barèmes!$AB$65:$AB$148,Barèmes!$BS$65:$BS$148),LOOKUP($A47,Barèmes!$AB$65:$AB$148,Barèmes!$BT$65:$BT$148)))),IF($Y47=2,IF(I47&lt;LOOKUP($A47,Barèmes!$AB$65:$AB$148,Barèmes!$BW$65:$BW$148),LOOKUP($A47,Barèmes!$AB$65:$AB$148,Barèmes!$CA$65:$CA$148),IF(I47&lt;LOOKUP($A47,Barèmes!$AB$65:$AB$148,Barèmes!$BX$65:$BX$148),LOOKUP($A47,Barèmes!$AB$65:$AB$148,Barèmes!$CB$65:$CB$148),IF(I47&lt;LOOKUP($A47,Barèmes!$AB$65:$AB$148,Barèmes!$BY$65:$BY$148),LOOKUP($A47,Barèmes!$AB$65:$AB$148,Barèmes!$CC$65:$CC188),LOOKUP($A47,Barèmes!$AB$65:$AB$148,Barèmes!$CD$65:$CD$148))))))</f>
        <v>9.0999999999999998E-2</v>
      </c>
    </row>
    <row r="48" spans="1:26" x14ac:dyDescent="0.25">
      <c r="A48" s="15">
        <f>B48+Simulation!$D$4</f>
        <v>2058</v>
      </c>
      <c r="B48" s="19">
        <v>58</v>
      </c>
      <c r="C48" s="77">
        <f>IF(AND($B48&gt;=Simulation!$D$5,$B48&lt;Simulation!$D$6),IF(Simulation!$D$3=1,LOOKUP($B48,Info_cas_type!$B$5:$B$55,Info_cas_type!$C$5:$C$55)*LOOKUP($A48,Barèmes!$A$65:$A$148,Barèmes!$D$65:$D$148),IF(Simulation!$D$3=2,LOOKUP($B48,Info_cas_type!$B$5:$B$55,Info_cas_type!$D$5:$D$55)*LOOKUP($A48,Barèmes!$A$65:$A$148,Barèmes!$D$65:$D$148),IF(Simulation!$D$3="2P",LOOKUP($B48,Info_cas_type!$B$5:$B$55,Info_cas_type!$E$5:$E$55)*LOOKUP($A48,Barèmes!$A$65:$A$148,Barèmes!$D$65:$D$148),IF(Simulation!$D$3="2M",LOOKUP($B48,Info_cas_type!$B$5:$B$55,Info_cas_type!$F$5:$F$55)*LOOKUP($A48,Barèmes!$A$65:$A$148,Barèmes!$D$65:$D$148),IF(Simulation!$D$3="SMIC",LOOKUP($A48,Barèmes!$A$65:$A$148,Barèmes!$F$65:$F$148),LOOKUP($B48,Info_cas_type!$B$5:$B$55,Info_cas_type!$G$5:$G$55)*LOOKUP($A48,Barèmes!$A$65:$A$148,Barèmes!$D$65:$D$148)))))),0)*LOOKUP($B48,Info_cas_type!$B$5:$B$55,Info_cas_type!$H$5:$H$55)</f>
        <v>105320.27100251199</v>
      </c>
      <c r="D48" s="56">
        <f>MIN($C48,LOOKUP($A48,Barèmes!$A$65:$A$148,Barèmes!$V$65:$V$148))</f>
        <v>105320.27100251199</v>
      </c>
      <c r="E48" s="56">
        <f>MIN(F48,7*LOOKUP($A48,Barèmes!$A$65:$A$148,Barèmes!$V$65:$V$148))</f>
        <v>0</v>
      </c>
      <c r="F48" s="56">
        <f>IF($C48&gt;LOOKUP($A48,Barèmes!$A$65:$A$148,Barèmes!$V$65:$V$148),($C48-LOOKUP($A48,Barèmes!$A$65:$A$148,Barèmes!$V$65:$V$148)),0)</f>
        <v>0</v>
      </c>
      <c r="H48" s="81">
        <f t="shared" si="0"/>
        <v>83371.684505994999</v>
      </c>
      <c r="I48" s="56">
        <f>H48+LOOKUP($A48,Barèmes!$A$5:$A$148,Barèmes!$CK$5:$CK$148)*C48*(LOOKUP($A48,Barèmes!$CG$65:$CG$148,Barèmes!$CH$65:$CH$148)-LOOKUP($A48,Barèmes!$CG$65:$CG$148,Barèmes!$CI$65:$CI$148))</f>
        <v>85855.136496234234</v>
      </c>
      <c r="K48" s="320">
        <f>LOOKUP($A48,Barèmes!$A$65:$A$148,Barèmes!$K$65:$K$148)-LOOKUP($A48,Barèmes!$A$65:$A$148,Barèmes!$L$65:$L$148)+(LOOKUP($A48,Barèmes!$A$65:$A$148,Barèmes!$AC$65:$AC$148)-LOOKUP($A48,Barèmes!$A$65:$A$148,Barèmes!$AD$65:$AD$148))*LOOKUP($A48,Barèmes!$A$65:$A$148,Barèmes!$AI$65:$AI$148)+LOOKUP($A48,Barèmes!$A$65:$A$148,Barèmes!$AQ$65:$AQ$148)-LOOKUP($A48,Barèmes!$A$65:$A$148,Barèmes!$AR$65:$AR$148)+LOOKUP($A48,Barèmes!$A$65:$A$148,Barèmes!$CL$65:$CL$148)+LOOKUP($A48,Barèmes!$A$65:$A$148,Barèmes!$CM$65:$CM$148)+LOOKUP($A48,Barèmes!$A$5:$A$148,Barèmes!$CK$5:$CK$148)*(LOOKUP($A48,Barèmes!$A$65:$A$148,Barèmes!$CH$65:$CH$148)+LOOKUP($A48,Barèmes!$A$65:$A$148,Barèmes!$CJ$65:$CJ$148))</f>
        <v>0.20839849999999999</v>
      </c>
      <c r="L48" s="320">
        <f>K48+LOOKUP($A48,Barèmes!$A$65:$A$148,Barèmes!$AL$65:$AL$148)-LOOKUP($A48,Barèmes!$A$65:$A$148,Barèmes!$AM$65:$AM$148)+IF($A48&gt;2010,LOOKUP($A48,Barèmes!$CG$5:$CG$148,Barèmes!$CO$5:$CO$148),0)</f>
        <v>0.21003849999999999</v>
      </c>
      <c r="M48" s="320">
        <f>(LOOKUP($A48,Barèmes!$A$65:$A$148,Barèmes!$AF$65:$AF$148)-LOOKUP($A48,Barèmes!$A$65:$A$148,Barèmes!$AG$65:$AG$148))*LOOKUP($A48,Barèmes!$A$65:$A$148,Barèmes!$AI$65:$AI$148)+LOOKUP($A48,Barèmes!$A$65:$A$148,Barèmes!$AL$65:$AL$148)-LOOKUP($A48,Barèmes!$A$65:$A$148,Barèmes!$AM$65:$AM$148)+LOOKUP($A48,Barèmes!$A$65:$A$148,Barèmes!$AV$65:$AV$148)-LOOKUP($A48,Barèmes!$A$65:$A$148,Barèmes!$AW$65:$AW$148)+LOOKUP($A48,Barèmes!$A$65:$A$148,Barèmes!$CN$65:$CN$148)+LOOKUP($A48,Barèmes!$A$65:$A$148,Barèmes!$CO$65:$CO$148)</f>
        <v>9.8799999999999999E-2</v>
      </c>
      <c r="N48" s="320">
        <f>LOOKUP($A48,Barèmes!$A$65:$A$148,Barèmes!$N$65:$N$148)-LOOKUP($A48,Barèmes!$A$65:$A$148,Barèmes!O106:O189)+0.9825*LOOKUP($A48,Barèmes!$A$65:$A$148,Barèmes!$CH$65:$CH$148)+0.9825*LOOKUP($A48,Barèmes!$A$65:$A$148,Barèmes!$CJ$65:$CJ$148)+LOOKUP($A48,Barèmes!$A$65:$A$148,Barèmes!$CL$65:$CL$148)</f>
        <v>9.9302500000000002E-2</v>
      </c>
      <c r="P48" s="321">
        <f>C48/LOOKUP($A48,Barèmes!$A$65:$A$148,Barèmes!$C$65:$C$148)</f>
        <v>56394.230173026488</v>
      </c>
      <c r="Q48" s="321">
        <f>H48/LOOKUP($A48,Barèmes!$A$65:$A$148,Barèmes!$C$65:$C$148)</f>
        <v>44641.757196313025</v>
      </c>
      <c r="R48" s="321">
        <f>I48/LOOKUP($A48,Barèmes!$A$65:$A$148,Barèmes!$C$65:$C$148)</f>
        <v>45971.533143792993</v>
      </c>
      <c r="T48" s="321">
        <f>C48/LOOKUP($A48,Barèmes!$A$65:$A$148,Barèmes!$G$65:$G$148)</f>
        <v>33673.859849838074</v>
      </c>
      <c r="U48" s="321">
        <f>H48/LOOKUP($A48,Barèmes!$A$65:$A$148,Barèmes!$G$65:$G$148)</f>
        <v>26656.277967921596</v>
      </c>
      <c r="V48" s="321">
        <f>I48/LOOKUP($A48,Barèmes!$A$65:$A$148,Barèmes!$G$65:$G$148)</f>
        <v>27450.30758318078</v>
      </c>
      <c r="Y48" s="95">
        <v>1</v>
      </c>
      <c r="Z48" s="280">
        <f>IF($Y48=1,IF(I48&lt;LOOKUP($A48,Barèmes!$AB$65:$AB$148,Barèmes!$BM$65:$BM$148),LOOKUP($A48,Barèmes!$AB$65:$AB$148,Barèmes!$BQ$65:$BQ$148),IF(I48&lt;LOOKUP($A48,Barèmes!$AB$65:$AB$148,Barèmes!$BN$65:$BN$148),LOOKUP($A48,Barèmes!$AB$65:$AB$148,Barèmes!$BR$65:$BR$148),IF(I48&lt;LOOKUP($A48,Barèmes!$AB$65:$AB$148,Barèmes!$BO$65:$BO$148),LOOKUP($A48,Barèmes!$AB$65:$AB$148,Barèmes!$BS$65:$BS$148),LOOKUP($A48,Barèmes!$AB$65:$AB$148,Barèmes!$BT$65:$BT$148)))),IF($Y48=2,IF(I48&lt;LOOKUP($A48,Barèmes!$AB$65:$AB$148,Barèmes!$BW$65:$BW$148),LOOKUP($A48,Barèmes!$AB$65:$AB$148,Barèmes!$CA$65:$CA$148),IF(I48&lt;LOOKUP($A48,Barèmes!$AB$65:$AB$148,Barèmes!$BX$65:$BX$148),LOOKUP($A48,Barèmes!$AB$65:$AB$148,Barèmes!$CB$65:$CB$148),IF(I48&lt;LOOKUP($A48,Barèmes!$AB$65:$AB$148,Barèmes!$BY$65:$BY$148),LOOKUP($A48,Barèmes!$AB$65:$AB$148,Barèmes!$CC$65:$CC189),LOOKUP($A48,Barèmes!$AB$65:$AB$148,Barèmes!$CD$65:$CD$148))))))</f>
        <v>9.0999999999999998E-2</v>
      </c>
    </row>
    <row r="49" spans="1:26" x14ac:dyDescent="0.25">
      <c r="A49" s="15">
        <f>B49+Simulation!$D$4</f>
        <v>2059</v>
      </c>
      <c r="B49" s="19">
        <v>59</v>
      </c>
      <c r="C49" s="77">
        <f>IF(AND($B49&gt;=Simulation!$D$5,$B49&lt;Simulation!$D$6),IF(Simulation!$D$3=1,LOOKUP($B49,Info_cas_type!$B$5:$B$55,Info_cas_type!$C$5:$C$55)*LOOKUP($A49,Barèmes!$A$65:$A$148,Barèmes!$D$65:$D$148),IF(Simulation!$D$3=2,LOOKUP($B49,Info_cas_type!$B$5:$B$55,Info_cas_type!$D$5:$D$55)*LOOKUP($A49,Barèmes!$A$65:$A$148,Barèmes!$D$65:$D$148),IF(Simulation!$D$3="2P",LOOKUP($B49,Info_cas_type!$B$5:$B$55,Info_cas_type!$E$5:$E$55)*LOOKUP($A49,Barèmes!$A$65:$A$148,Barèmes!$D$65:$D$148),IF(Simulation!$D$3="2M",LOOKUP($B49,Info_cas_type!$B$5:$B$55,Info_cas_type!$F$5:$F$55)*LOOKUP($A49,Barèmes!$A$65:$A$148,Barèmes!$D$65:$D$148),IF(Simulation!$D$3="SMIC",LOOKUP($A49,Barèmes!$A$65:$A$148,Barèmes!$F$65:$F$148),LOOKUP($B49,Info_cas_type!$B$5:$B$55,Info_cas_type!$G$5:$G$55)*LOOKUP($A49,Barèmes!$A$65:$A$148,Barèmes!$D$65:$D$148)))))),0)*LOOKUP($B49,Info_cas_type!$B$5:$B$55,Info_cas_type!$H$5:$H$55)</f>
        <v>108650.07051227338</v>
      </c>
      <c r="D49" s="56">
        <f>MIN($C49,LOOKUP($A49,Barèmes!$A$65:$A$148,Barèmes!$V$65:$V$148))</f>
        <v>108650.07051227338</v>
      </c>
      <c r="E49" s="56">
        <f>MIN(F49,7*LOOKUP($A49,Barèmes!$A$65:$A$148,Barèmes!$V$65:$V$148))</f>
        <v>0</v>
      </c>
      <c r="F49" s="56">
        <f>IF($C49&gt;LOOKUP($A49,Barèmes!$A$65:$A$148,Barèmes!$V$65:$V$148),($C49-LOOKUP($A49,Barèmes!$A$65:$A$148,Barèmes!$V$65:$V$148)),0)</f>
        <v>0</v>
      </c>
      <c r="H49" s="81">
        <f t="shared" si="0"/>
        <v>86007.558792621378</v>
      </c>
      <c r="I49" s="56">
        <f>H49+LOOKUP($A49,Barèmes!$A$5:$A$148,Barèmes!$CK$5:$CK$148)*C49*(LOOKUP($A49,Barèmes!$CG$65:$CG$148,Barèmes!$CH$65:$CH$148)-LOOKUP($A49,Barèmes!$CG$65:$CG$148,Barèmes!$CI$65:$CI$148))</f>
        <v>88569.527455300777</v>
      </c>
      <c r="K49" s="320">
        <f>LOOKUP($A49,Barèmes!$A$65:$A$148,Barèmes!$K$65:$K$148)-LOOKUP($A49,Barèmes!$A$65:$A$148,Barèmes!$L$65:$L$148)+(LOOKUP($A49,Barèmes!$A$65:$A$148,Barèmes!$AC$65:$AC$148)-LOOKUP($A49,Barèmes!$A$65:$A$148,Barèmes!$AD$65:$AD$148))*LOOKUP($A49,Barèmes!$A$65:$A$148,Barèmes!$AI$65:$AI$148)+LOOKUP($A49,Barèmes!$A$65:$A$148,Barèmes!$AQ$65:$AQ$148)-LOOKUP($A49,Barèmes!$A$65:$A$148,Barèmes!$AR$65:$AR$148)+LOOKUP($A49,Barèmes!$A$65:$A$148,Barèmes!$CL$65:$CL$148)+LOOKUP($A49,Barèmes!$A$65:$A$148,Barèmes!$CM$65:$CM$148)+LOOKUP($A49,Barèmes!$A$5:$A$148,Barèmes!$CK$5:$CK$148)*(LOOKUP($A49,Barèmes!$A$65:$A$148,Barèmes!$CH$65:$CH$148)+LOOKUP($A49,Barèmes!$A$65:$A$148,Barèmes!$CJ$65:$CJ$148))</f>
        <v>0.20839849999999999</v>
      </c>
      <c r="L49" s="320">
        <f>K49+LOOKUP($A49,Barèmes!$A$65:$A$148,Barèmes!$AL$65:$AL$148)-LOOKUP($A49,Barèmes!$A$65:$A$148,Barèmes!$AM$65:$AM$148)+IF($A49&gt;2010,LOOKUP($A49,Barèmes!$CG$5:$CG$148,Barèmes!$CO$5:$CO$148),0)</f>
        <v>0.21003849999999999</v>
      </c>
      <c r="M49" s="320">
        <f>(LOOKUP($A49,Barèmes!$A$65:$A$148,Barèmes!$AF$65:$AF$148)-LOOKUP($A49,Barèmes!$A$65:$A$148,Barèmes!$AG$65:$AG$148))*LOOKUP($A49,Barèmes!$A$65:$A$148,Barèmes!$AI$65:$AI$148)+LOOKUP($A49,Barèmes!$A$65:$A$148,Barèmes!$AL$65:$AL$148)-LOOKUP($A49,Barèmes!$A$65:$A$148,Barèmes!$AM$65:$AM$148)+LOOKUP($A49,Barèmes!$A$65:$A$148,Barèmes!$AV$65:$AV$148)-LOOKUP($A49,Barèmes!$A$65:$A$148,Barèmes!$AW$65:$AW$148)+LOOKUP($A49,Barèmes!$A$65:$A$148,Barèmes!$CN$65:$CN$148)+LOOKUP($A49,Barèmes!$A$65:$A$148,Barèmes!$CO$65:$CO$148)</f>
        <v>9.8799999999999999E-2</v>
      </c>
      <c r="N49" s="320">
        <f>LOOKUP($A49,Barèmes!$A$65:$A$148,Barèmes!$N$65:$N$148)-LOOKUP($A49,Barèmes!$A$65:$A$148,Barèmes!O107:O190)+0.9825*LOOKUP($A49,Barèmes!$A$65:$A$148,Barèmes!$CH$65:$CH$148)+0.9825*LOOKUP($A49,Barèmes!$A$65:$A$148,Barèmes!$CJ$65:$CJ$148)+LOOKUP($A49,Barèmes!$A$65:$A$148,Barèmes!$CL$65:$CL$148)</f>
        <v>0.1183025</v>
      </c>
      <c r="P49" s="321">
        <f>C49/LOOKUP($A49,Barèmes!$A$65:$A$148,Barèmes!$C$65:$C$148)</f>
        <v>57176.596408847137</v>
      </c>
      <c r="Q49" s="321">
        <f>H49/LOOKUP($A49,Barèmes!$A$65:$A$148,Barèmes!$C$65:$C$148)</f>
        <v>45261.079482138011</v>
      </c>
      <c r="R49" s="321">
        <f>I49/LOOKUP($A49,Barèmes!$A$65:$A$148,Barèmes!$C$65:$C$148)</f>
        <v>46609.303625458619</v>
      </c>
      <c r="T49" s="321">
        <f>C49/LOOKUP($A49,Barèmes!$A$65:$A$148,Barèmes!$G$65:$G$148)</f>
        <v>33702.885221834636</v>
      </c>
      <c r="U49" s="321">
        <f>H49/LOOKUP($A49,Barèmes!$A$65:$A$148,Barèmes!$G$65:$G$148)</f>
        <v>26679.254495932135</v>
      </c>
      <c r="V49" s="321">
        <f>I49/LOOKUP($A49,Barèmes!$A$65:$A$148,Barèmes!$G$65:$G$148)</f>
        <v>27473.968529462993</v>
      </c>
      <c r="Y49" s="95">
        <v>1</v>
      </c>
      <c r="Z49" s="280">
        <f>IF($Y49=1,IF(I49&lt;LOOKUP($A49,Barèmes!$AB$65:$AB$148,Barèmes!$BM$65:$BM$148),LOOKUP($A49,Barèmes!$AB$65:$AB$148,Barèmes!$BQ$65:$BQ$148),IF(I49&lt;LOOKUP($A49,Barèmes!$AB$65:$AB$148,Barèmes!$BN$65:$BN$148),LOOKUP($A49,Barèmes!$AB$65:$AB$148,Barèmes!$BR$65:$BR$148),IF(I49&lt;LOOKUP($A49,Barèmes!$AB$65:$AB$148,Barèmes!$BO$65:$BO$148),LOOKUP($A49,Barèmes!$AB$65:$AB$148,Barèmes!$BS$65:$BS$148),LOOKUP($A49,Barèmes!$AB$65:$AB$148,Barèmes!$BT$65:$BT$148)))),IF($Y49=2,IF(I49&lt;LOOKUP($A49,Barèmes!$AB$65:$AB$148,Barèmes!$BW$65:$BW$148),LOOKUP($A49,Barèmes!$AB$65:$AB$148,Barèmes!$CA$65:$CA$148),IF(I49&lt;LOOKUP($A49,Barèmes!$AB$65:$AB$148,Barèmes!$BX$65:$BX$148),LOOKUP($A49,Barèmes!$AB$65:$AB$148,Barèmes!$CB$65:$CB$148),IF(I49&lt;LOOKUP($A49,Barèmes!$AB$65:$AB$148,Barèmes!$BY$65:$BY$148),LOOKUP($A49,Barèmes!$AB$65:$AB$148,Barèmes!$CC$65:$CC190),LOOKUP($A49,Barèmes!$AB$65:$AB$148,Barèmes!$CD$65:$CD$148))))))</f>
        <v>9.0999999999999998E-2</v>
      </c>
    </row>
    <row r="50" spans="1:26" x14ac:dyDescent="0.25">
      <c r="A50" s="15">
        <f>B50+Simulation!$D$4</f>
        <v>2060</v>
      </c>
      <c r="B50" s="19">
        <v>60</v>
      </c>
      <c r="C50" s="77">
        <f>IF(AND($B50&gt;=Simulation!$D$5,$B50&lt;Simulation!$D$6),IF(Simulation!$D$3=1,LOOKUP($B50,Info_cas_type!$B$5:$B$55,Info_cas_type!$C$5:$C$55)*LOOKUP($A50,Barèmes!$A$65:$A$148,Barèmes!$D$65:$D$148),IF(Simulation!$D$3=2,LOOKUP($B50,Info_cas_type!$B$5:$B$55,Info_cas_type!$D$5:$D$55)*LOOKUP($A50,Barèmes!$A$65:$A$148,Barèmes!$D$65:$D$148),IF(Simulation!$D$3="2P",LOOKUP($B50,Info_cas_type!$B$5:$B$55,Info_cas_type!$E$5:$E$55)*LOOKUP($A50,Barèmes!$A$65:$A$148,Barèmes!$D$65:$D$148),IF(Simulation!$D$3="2M",LOOKUP($B50,Info_cas_type!$B$5:$B$55,Info_cas_type!$F$5:$F$55)*LOOKUP($A50,Barèmes!$A$65:$A$148,Barèmes!$D$65:$D$148),IF(Simulation!$D$3="SMIC",LOOKUP($A50,Barèmes!$A$65:$A$148,Barèmes!$F$65:$F$148),LOOKUP($B50,Info_cas_type!$B$5:$B$55,Info_cas_type!$G$5:$G$55)*LOOKUP($A50,Barèmes!$A$65:$A$148,Barèmes!$D$65:$D$148)))))),0)*LOOKUP($B50,Info_cas_type!$B$5:$B$55,Info_cas_type!$H$5:$H$55)</f>
        <v>112280.47730324794</v>
      </c>
      <c r="D50" s="56">
        <f>MIN($C50,LOOKUP($A50,Barèmes!$A$65:$A$148,Barèmes!$V$65:$V$148))</f>
        <v>112280.47730324794</v>
      </c>
      <c r="E50" s="56">
        <f>MIN(F50,7*LOOKUP($A50,Barèmes!$A$65:$A$148,Barèmes!$V$65:$V$148))</f>
        <v>0</v>
      </c>
      <c r="F50" s="56">
        <f>IF($C50&gt;LOOKUP($A50,Barèmes!$A$65:$A$148,Barèmes!$V$65:$V$148),($C50-LOOKUP($A50,Barèmes!$A$65:$A$148,Barèmes!$V$65:$V$148)),0)</f>
        <v>0</v>
      </c>
      <c r="H50" s="81">
        <f t="shared" si="0"/>
        <v>88881.394253967039</v>
      </c>
      <c r="I50" s="56">
        <f>H50+LOOKUP($A50,Barèmes!$A$5:$A$148,Barèmes!$CK$5:$CK$148)*C50*(LOOKUP($A50,Barèmes!$CG$65:$CG$148,Barèmes!$CH$65:$CH$148)-LOOKUP($A50,Barèmes!$CG$65:$CG$148,Barèmes!$CI$65:$CI$148))</f>
        <v>91528.967908777631</v>
      </c>
      <c r="K50" s="320">
        <f>LOOKUP($A50,Barèmes!$A$65:$A$148,Barèmes!$K$65:$K$148)-LOOKUP($A50,Barèmes!$A$65:$A$148,Barèmes!$L$65:$L$148)+(LOOKUP($A50,Barèmes!$A$65:$A$148,Barèmes!$AC$65:$AC$148)-LOOKUP($A50,Barèmes!$A$65:$A$148,Barèmes!$AD$65:$AD$148))*LOOKUP($A50,Barèmes!$A$65:$A$148,Barèmes!$AI$65:$AI$148)+LOOKUP($A50,Barèmes!$A$65:$A$148,Barèmes!$AQ$65:$AQ$148)-LOOKUP($A50,Barèmes!$A$65:$A$148,Barèmes!$AR$65:$AR$148)+LOOKUP($A50,Barèmes!$A$65:$A$148,Barèmes!$CL$65:$CL$148)+LOOKUP($A50,Barèmes!$A$65:$A$148,Barèmes!$CM$65:$CM$148)+LOOKUP($A50,Barèmes!$A$5:$A$148,Barèmes!$CK$5:$CK$148)*(LOOKUP($A50,Barèmes!$A$65:$A$148,Barèmes!$CH$65:$CH$148)+LOOKUP($A50,Barèmes!$A$65:$A$148,Barèmes!$CJ$65:$CJ$148))</f>
        <v>0.20839849999999999</v>
      </c>
      <c r="L50" s="320">
        <f>K50+LOOKUP($A50,Barèmes!$A$65:$A$148,Barèmes!$AL$65:$AL$148)-LOOKUP($A50,Barèmes!$A$65:$A$148,Barèmes!$AM$65:$AM$148)+IF($A50&gt;2010,LOOKUP($A50,Barèmes!$CG$5:$CG$148,Barèmes!$CO$5:$CO$148),0)</f>
        <v>0.21003849999999999</v>
      </c>
      <c r="M50" s="320">
        <f>(LOOKUP($A50,Barèmes!$A$65:$A$148,Barèmes!$AF$65:$AF$148)-LOOKUP($A50,Barèmes!$A$65:$A$148,Barèmes!$AG$65:$AG$148))*LOOKUP($A50,Barèmes!$A$65:$A$148,Barèmes!$AI$65:$AI$148)+LOOKUP($A50,Barèmes!$A$65:$A$148,Barèmes!$AL$65:$AL$148)-LOOKUP($A50,Barèmes!$A$65:$A$148,Barèmes!$AM$65:$AM$148)+LOOKUP($A50,Barèmes!$A$65:$A$148,Barèmes!$AV$65:$AV$148)-LOOKUP($A50,Barèmes!$A$65:$A$148,Barèmes!$AW$65:$AW$148)+LOOKUP($A50,Barèmes!$A$65:$A$148,Barèmes!$CN$65:$CN$148)+LOOKUP($A50,Barèmes!$A$65:$A$148,Barèmes!$CO$65:$CO$148)</f>
        <v>9.8799999999999999E-2</v>
      </c>
      <c r="N50" s="320">
        <f>LOOKUP($A50,Barèmes!$A$65:$A$148,Barèmes!$N$65:$N$148)-LOOKUP($A50,Barèmes!$A$65:$A$148,Barèmes!O108:O191)+0.9825*LOOKUP($A50,Barèmes!$A$65:$A$148,Barèmes!$CH$65:$CH$148)+0.9825*LOOKUP($A50,Barèmes!$A$65:$A$148,Barèmes!$CJ$65:$CJ$148)+LOOKUP($A50,Barèmes!$A$65:$A$148,Barèmes!$CL$65:$CL$148)</f>
        <v>0.1183025</v>
      </c>
      <c r="P50" s="321">
        <f>C50/LOOKUP($A50,Barèmes!$A$65:$A$148,Barèmes!$C$65:$C$148)</f>
        <v>58070.841443592246</v>
      </c>
      <c r="Q50" s="321">
        <f>H50/LOOKUP($A50,Barèmes!$A$65:$A$148,Barèmes!$C$65:$C$148)</f>
        <v>45968.965193009797</v>
      </c>
      <c r="R50" s="321">
        <f>I50/LOOKUP($A50,Barèmes!$A$65:$A$148,Barèmes!$C$65:$C$148)</f>
        <v>47338.275634249701</v>
      </c>
      <c r="T50" s="321">
        <f>C50/LOOKUP($A50,Barèmes!$A$65:$A$148,Barèmes!$G$65:$G$148)</f>
        <v>33790.720784306221</v>
      </c>
      <c r="U50" s="321">
        <f>H50/LOOKUP($A50,Barèmes!$A$65:$A$148,Barèmes!$G$65:$G$148)</f>
        <v>26748.785258937984</v>
      </c>
      <c r="V50" s="321">
        <f>I50/LOOKUP($A50,Barèmes!$A$65:$A$148,Barèmes!$G$65:$G$148)</f>
        <v>27545.570455031928</v>
      </c>
      <c r="Y50" s="95">
        <v>1</v>
      </c>
      <c r="Z50" s="280">
        <f>IF($Y50=1,IF(I50&lt;LOOKUP($A50,Barèmes!$AB$65:$AB$148,Barèmes!$BM$65:$BM$148),LOOKUP($A50,Barèmes!$AB$65:$AB$148,Barèmes!$BQ$65:$BQ$148),IF(I50&lt;LOOKUP($A50,Barèmes!$AB$65:$AB$148,Barèmes!$BN$65:$BN$148),LOOKUP($A50,Barèmes!$AB$65:$AB$148,Barèmes!$BR$65:$BR$148),IF(I50&lt;LOOKUP($A50,Barèmes!$AB$65:$AB$148,Barèmes!$BO$65:$BO$148),LOOKUP($A50,Barèmes!$AB$65:$AB$148,Barèmes!$BS$65:$BS$148),LOOKUP($A50,Barèmes!$AB$65:$AB$148,Barèmes!$BT$65:$BT$148)))),IF($Y50=2,IF(I50&lt;LOOKUP($A50,Barèmes!$AB$65:$AB$148,Barèmes!$BW$65:$BW$148),LOOKUP($A50,Barèmes!$AB$65:$AB$148,Barèmes!$CA$65:$CA$148),IF(I50&lt;LOOKUP($A50,Barèmes!$AB$65:$AB$148,Barèmes!$BX$65:$BX$148),LOOKUP($A50,Barèmes!$AB$65:$AB$148,Barèmes!$CB$65:$CB$148),IF(I50&lt;LOOKUP($A50,Barèmes!$AB$65:$AB$148,Barèmes!$BY$65:$BY$148),LOOKUP($A50,Barèmes!$AB$65:$AB$148,Barèmes!$CC$65:$CC191),LOOKUP($A50,Barèmes!$AB$65:$AB$148,Barèmes!$CD$65:$CD$148))))))</f>
        <v>9.0999999999999998E-2</v>
      </c>
    </row>
    <row r="51" spans="1:26" x14ac:dyDescent="0.25">
      <c r="A51" s="15">
        <f>B51+Simulation!$D$4</f>
        <v>2061</v>
      </c>
      <c r="B51" s="19">
        <v>61</v>
      </c>
      <c r="C51" s="77">
        <f>IF(AND($B51&gt;=Simulation!$D$5,$B51&lt;Simulation!$D$6),IF(Simulation!$D$3=1,LOOKUP($B51,Info_cas_type!$B$5:$B$55,Info_cas_type!$C$5:$C$55)*LOOKUP($A51,Barèmes!$A$65:$A$148,Barèmes!$D$65:$D$148),IF(Simulation!$D$3=2,LOOKUP($B51,Info_cas_type!$B$5:$B$55,Info_cas_type!$D$5:$D$55)*LOOKUP($A51,Barèmes!$A$65:$A$148,Barèmes!$D$65:$D$148),IF(Simulation!$D$3="2P",LOOKUP($B51,Info_cas_type!$B$5:$B$55,Info_cas_type!$E$5:$E$55)*LOOKUP($A51,Barèmes!$A$65:$A$148,Barèmes!$D$65:$D$148),IF(Simulation!$D$3="2M",LOOKUP($B51,Info_cas_type!$B$5:$B$55,Info_cas_type!$F$5:$F$55)*LOOKUP($A51,Barèmes!$A$65:$A$148,Barèmes!$D$65:$D$148),IF(Simulation!$D$3="SMIC",LOOKUP($A51,Barèmes!$A$65:$A$148,Barèmes!$F$65:$F$148),LOOKUP($B51,Info_cas_type!$B$5:$B$55,Info_cas_type!$G$5:$G$55)*LOOKUP($A51,Barèmes!$A$65:$A$148,Barèmes!$D$65:$D$148)))))),0)*LOOKUP($B51,Info_cas_type!$B$5:$B$55,Info_cas_type!$H$5:$H$55)</f>
        <v>115730.5756695835</v>
      </c>
      <c r="D51" s="56">
        <f>MIN($C51,LOOKUP($A51,Barèmes!$A$65:$A$148,Barèmes!$V$65:$V$148))</f>
        <v>115730.5756695835</v>
      </c>
      <c r="E51" s="56">
        <f>MIN(F51,7*LOOKUP($A51,Barèmes!$A$65:$A$148,Barèmes!$V$65:$V$148))</f>
        <v>0</v>
      </c>
      <c r="F51" s="56">
        <f>IF($C51&gt;LOOKUP($A51,Barèmes!$A$65:$A$148,Barèmes!$V$65:$V$148),($C51-LOOKUP($A51,Barèmes!$A$65:$A$148,Barèmes!$V$65:$V$148)),0)</f>
        <v>0</v>
      </c>
      <c r="H51" s="81">
        <f t="shared" si="0"/>
        <v>91612.497295905807</v>
      </c>
      <c r="I51" s="56">
        <f>H51+LOOKUP($A51,Barèmes!$A$5:$A$148,Barèmes!$CK$5:$CK$148)*C51*(LOOKUP($A51,Barèmes!$CG$65:$CG$148,Barèmes!$CH$65:$CH$148)-LOOKUP($A51,Barèmes!$CG$65:$CG$148,Barèmes!$CI$65:$CI$148))</f>
        <v>94341.424270194591</v>
      </c>
      <c r="K51" s="320">
        <f>LOOKUP($A51,Barèmes!$A$65:$A$148,Barèmes!$K$65:$K$148)-LOOKUP($A51,Barèmes!$A$65:$A$148,Barèmes!$L$65:$L$148)+(LOOKUP($A51,Barèmes!$A$65:$A$148,Barèmes!$AC$65:$AC$148)-LOOKUP($A51,Barèmes!$A$65:$A$148,Barèmes!$AD$65:$AD$148))*LOOKUP($A51,Barèmes!$A$65:$A$148,Barèmes!$AI$65:$AI$148)+LOOKUP($A51,Barèmes!$A$65:$A$148,Barèmes!$AQ$65:$AQ$148)-LOOKUP($A51,Barèmes!$A$65:$A$148,Barèmes!$AR$65:$AR$148)+LOOKUP($A51,Barèmes!$A$65:$A$148,Barèmes!$CL$65:$CL$148)+LOOKUP($A51,Barèmes!$A$65:$A$148,Barèmes!$CM$65:$CM$148)+LOOKUP($A51,Barèmes!$A$5:$A$148,Barèmes!$CK$5:$CK$148)*(LOOKUP($A51,Barèmes!$A$65:$A$148,Barèmes!$CH$65:$CH$148)+LOOKUP($A51,Barèmes!$A$65:$A$148,Barèmes!$CJ$65:$CJ$148))</f>
        <v>0.20839849999999999</v>
      </c>
      <c r="L51" s="320">
        <f>K51+LOOKUP($A51,Barèmes!$A$65:$A$148,Barèmes!$AL$65:$AL$148)-LOOKUP($A51,Barèmes!$A$65:$A$148,Barèmes!$AM$65:$AM$148)+IF($A51&gt;2010,LOOKUP($A51,Barèmes!$CG$5:$CG$148,Barèmes!$CO$5:$CO$148),0)</f>
        <v>0.21003849999999999</v>
      </c>
      <c r="M51" s="320">
        <f>(LOOKUP($A51,Barèmes!$A$65:$A$148,Barèmes!$AF$65:$AF$148)-LOOKUP($A51,Barèmes!$A$65:$A$148,Barèmes!$AG$65:$AG$148))*LOOKUP($A51,Barèmes!$A$65:$A$148,Barèmes!$AI$65:$AI$148)+LOOKUP($A51,Barèmes!$A$65:$A$148,Barèmes!$AL$65:$AL$148)-LOOKUP($A51,Barèmes!$A$65:$A$148,Barèmes!$AM$65:$AM$148)+LOOKUP($A51,Barèmes!$A$65:$A$148,Barèmes!$AV$65:$AV$148)-LOOKUP($A51,Barèmes!$A$65:$A$148,Barèmes!$AW$65:$AW$148)+LOOKUP($A51,Barèmes!$A$65:$A$148,Barèmes!$CN$65:$CN$148)+LOOKUP($A51,Barèmes!$A$65:$A$148,Barèmes!$CO$65:$CO$148)</f>
        <v>9.8799999999999999E-2</v>
      </c>
      <c r="N51" s="320">
        <f>LOOKUP($A51,Barèmes!$A$65:$A$148,Barèmes!$N$65:$N$148)-LOOKUP($A51,Barèmes!$A$65:$A$148,Barèmes!O109:O192)+0.9825*LOOKUP($A51,Barèmes!$A$65:$A$148,Barèmes!$CH$65:$CH$148)+0.9825*LOOKUP($A51,Barèmes!$A$65:$A$148,Barèmes!$CJ$65:$CJ$148)+LOOKUP($A51,Barèmes!$A$65:$A$148,Barèmes!$CL$65:$CL$148)</f>
        <v>0.1183025</v>
      </c>
      <c r="P51" s="321">
        <f>C51/LOOKUP($A51,Barèmes!$A$65:$A$148,Barèmes!$C$65:$C$148)</f>
        <v>58825.762382358938</v>
      </c>
      <c r="Q51" s="321">
        <f>H51/LOOKUP($A51,Barèmes!$A$65:$A$148,Barèmes!$C$65:$C$148)</f>
        <v>46566.561740518911</v>
      </c>
      <c r="R51" s="321">
        <f>I51/LOOKUP($A51,Barèmes!$A$65:$A$148,Barèmes!$C$65:$C$148)</f>
        <v>47953.673217494943</v>
      </c>
      <c r="T51" s="321">
        <f>C51/LOOKUP($A51,Barèmes!$A$65:$A$148,Barèmes!$G$65:$G$148)</f>
        <v>33790.720784306221</v>
      </c>
      <c r="U51" s="321">
        <f>H51/LOOKUP($A51,Barèmes!$A$65:$A$148,Barèmes!$G$65:$G$148)</f>
        <v>26748.785258937984</v>
      </c>
      <c r="V51" s="321">
        <f>I51/LOOKUP($A51,Barèmes!$A$65:$A$148,Barèmes!$G$65:$G$148)</f>
        <v>27545.570455031924</v>
      </c>
      <c r="Y51" s="95">
        <v>1</v>
      </c>
      <c r="Z51" s="280">
        <f>IF($Y51=1,IF(I51&lt;LOOKUP($A51,Barèmes!$AB$65:$AB$148,Barèmes!$BM$65:$BM$148),LOOKUP($A51,Barèmes!$AB$65:$AB$148,Barèmes!$BQ$65:$BQ$148),IF(I51&lt;LOOKUP($A51,Barèmes!$AB$65:$AB$148,Barèmes!$BN$65:$BN$148),LOOKUP($A51,Barèmes!$AB$65:$AB$148,Barèmes!$BR$65:$BR$148),IF(I51&lt;LOOKUP($A51,Barèmes!$AB$65:$AB$148,Barèmes!$BO$65:$BO$148),LOOKUP($A51,Barèmes!$AB$65:$AB$148,Barèmes!$BS$65:$BS$148),LOOKUP($A51,Barèmes!$AB$65:$AB$148,Barèmes!$BT$65:$BT$148)))),IF($Y51=2,IF(I51&lt;LOOKUP($A51,Barèmes!$AB$65:$AB$148,Barèmes!$BW$65:$BW$148),LOOKUP($A51,Barèmes!$AB$65:$AB$148,Barèmes!$CA$65:$CA$148),IF(I51&lt;LOOKUP($A51,Barèmes!$AB$65:$AB$148,Barèmes!$BX$65:$BX$148),LOOKUP($A51,Barèmes!$AB$65:$AB$148,Barèmes!$CB$65:$CB$148),IF(I51&lt;LOOKUP($A51,Barèmes!$AB$65:$AB$148,Barèmes!$BY$65:$BY$148),LOOKUP($A51,Barèmes!$AB$65:$AB$148,Barèmes!$CC$65:$CC192),LOOKUP($A51,Barèmes!$AB$65:$AB$148,Barèmes!$CD$65:$CD$148))))))</f>
        <v>9.0999999999999998E-2</v>
      </c>
    </row>
    <row r="52" spans="1:26" x14ac:dyDescent="0.25">
      <c r="A52" s="15">
        <f>B52+Simulation!$D$4</f>
        <v>2062</v>
      </c>
      <c r="B52" s="19">
        <v>62</v>
      </c>
      <c r="C52" s="77">
        <f>IF(AND($B52&gt;=Simulation!$D$5,$B52&lt;Simulation!$D$6),IF(Simulation!$D$3=1,LOOKUP($B52,Info_cas_type!$B$5:$B$55,Info_cas_type!$C$5:$C$55)*LOOKUP($A52,Barèmes!$A$65:$A$148,Barèmes!$D$65:$D$148),IF(Simulation!$D$3=2,LOOKUP($B52,Info_cas_type!$B$5:$B$55,Info_cas_type!$D$5:$D$55)*LOOKUP($A52,Barèmes!$A$65:$A$148,Barèmes!$D$65:$D$148),IF(Simulation!$D$3="2P",LOOKUP($B52,Info_cas_type!$B$5:$B$55,Info_cas_type!$E$5:$E$55)*LOOKUP($A52,Barèmes!$A$65:$A$148,Barèmes!$D$65:$D$148),IF(Simulation!$D$3="2M",LOOKUP($B52,Info_cas_type!$B$5:$B$55,Info_cas_type!$F$5:$F$55)*LOOKUP($A52,Barèmes!$A$65:$A$148,Barèmes!$D$65:$D$148),IF(Simulation!$D$3="SMIC",LOOKUP($A52,Barèmes!$A$65:$A$148,Barèmes!$F$65:$F$148),LOOKUP($B52,Info_cas_type!$B$5:$B$55,Info_cas_type!$G$5:$G$55)*LOOKUP($A52,Barèmes!$A$65:$A$148,Barèmes!$D$65:$D$148)))))),0)*LOOKUP($B52,Info_cas_type!$B$5:$B$55,Info_cas_type!$H$5:$H$55)</f>
        <v>119286.68693347063</v>
      </c>
      <c r="D52" s="56">
        <f>MIN($C52,LOOKUP($A52,Barèmes!$A$65:$A$148,Barèmes!$V$65:$V$148))</f>
        <v>119286.68693347063</v>
      </c>
      <c r="E52" s="56">
        <f>MIN(F52,7*LOOKUP($A52,Barèmes!$A$65:$A$148,Barèmes!$V$65:$V$148))</f>
        <v>0</v>
      </c>
      <c r="F52" s="56">
        <f>IF($C52&gt;LOOKUP($A52,Barèmes!$A$65:$A$148,Barèmes!$V$65:$V$148),($C52-LOOKUP($A52,Barèmes!$A$65:$A$148,Barèmes!$V$65:$V$148)),0)</f>
        <v>0</v>
      </c>
      <c r="H52" s="81">
        <f t="shared" si="0"/>
        <v>94427.520306565755</v>
      </c>
      <c r="I52" s="56">
        <f>H52+LOOKUP($A52,Barèmes!$A$5:$A$148,Barèmes!$CK$5:$CK$148)*C52*(LOOKUP($A52,Barèmes!$CG$65:$CG$148,Barèmes!$CH$65:$CH$148)-LOOKUP($A52,Barèmes!$CG$65:$CG$148,Barèmes!$CI$65:$CI$148))</f>
        <v>97240.30038445699</v>
      </c>
      <c r="K52" s="320">
        <f>LOOKUP($A52,Barèmes!$A$65:$A$148,Barèmes!$K$65:$K$148)-LOOKUP($A52,Barèmes!$A$65:$A$148,Barèmes!$L$65:$L$148)+(LOOKUP($A52,Barèmes!$A$65:$A$148,Barèmes!$AC$65:$AC$148)-LOOKUP($A52,Barèmes!$A$65:$A$148,Barèmes!$AD$65:$AD$148))*LOOKUP($A52,Barèmes!$A$65:$A$148,Barèmes!$AI$65:$AI$148)+LOOKUP($A52,Barèmes!$A$65:$A$148,Barèmes!$AQ$65:$AQ$148)-LOOKUP($A52,Barèmes!$A$65:$A$148,Barèmes!$AR$65:$AR$148)+LOOKUP($A52,Barèmes!$A$65:$A$148,Barèmes!$CL$65:$CL$148)+LOOKUP($A52,Barèmes!$A$65:$A$148,Barèmes!$CM$65:$CM$148)+LOOKUP($A52,Barèmes!$A$5:$A$148,Barèmes!$CK$5:$CK$148)*(LOOKUP($A52,Barèmes!$A$65:$A$148,Barèmes!$CH$65:$CH$148)+LOOKUP($A52,Barèmes!$A$65:$A$148,Barèmes!$CJ$65:$CJ$148))</f>
        <v>0.20839849999999999</v>
      </c>
      <c r="L52" s="320">
        <f>K52+LOOKUP($A52,Barèmes!$A$65:$A$148,Barèmes!$AL$65:$AL$148)-LOOKUP($A52,Barèmes!$A$65:$A$148,Barèmes!$AM$65:$AM$148)+IF($A52&gt;2010,LOOKUP($A52,Barèmes!$CG$5:$CG$148,Barèmes!$CO$5:$CO$148),0)</f>
        <v>0.21003849999999999</v>
      </c>
      <c r="M52" s="320">
        <f>(LOOKUP($A52,Barèmes!$A$65:$A$148,Barèmes!$AF$65:$AF$148)-LOOKUP($A52,Barèmes!$A$65:$A$148,Barèmes!$AG$65:$AG$148))*LOOKUP($A52,Barèmes!$A$65:$A$148,Barèmes!$AI$65:$AI$148)+LOOKUP($A52,Barèmes!$A$65:$A$148,Barèmes!$AL$65:$AL$148)-LOOKUP($A52,Barèmes!$A$65:$A$148,Barèmes!$AM$65:$AM$148)+LOOKUP($A52,Barèmes!$A$65:$A$148,Barèmes!$AV$65:$AV$148)-LOOKUP($A52,Barèmes!$A$65:$A$148,Barèmes!$AW$65:$AW$148)+LOOKUP($A52,Barèmes!$A$65:$A$148,Barèmes!$CN$65:$CN$148)+LOOKUP($A52,Barèmes!$A$65:$A$148,Barèmes!$CO$65:$CO$148)</f>
        <v>9.8799999999999999E-2</v>
      </c>
      <c r="N52" s="320">
        <f>LOOKUP($A52,Barèmes!$A$65:$A$148,Barèmes!$N$65:$N$148)-LOOKUP($A52,Barèmes!$A$65:$A$148,Barèmes!O110:O193)+0.9825*LOOKUP($A52,Barèmes!$A$65:$A$148,Barèmes!$CH$65:$CH$148)+0.9825*LOOKUP($A52,Barèmes!$A$65:$A$148,Barèmes!$CJ$65:$CJ$148)+LOOKUP($A52,Barèmes!$A$65:$A$148,Barèmes!$CL$65:$CL$148)</f>
        <v>0.1183025</v>
      </c>
      <c r="P52" s="321">
        <f>C52/LOOKUP($A52,Barèmes!$A$65:$A$148,Barèmes!$C$65:$C$148)</f>
        <v>59590.497293329601</v>
      </c>
      <c r="Q52" s="321">
        <f>H52/LOOKUP($A52,Barèmes!$A$65:$A$148,Barèmes!$C$65:$C$148)</f>
        <v>47171.927043145653</v>
      </c>
      <c r="R52" s="321">
        <f>I52/LOOKUP($A52,Barèmes!$A$65:$A$148,Barèmes!$C$65:$C$148)</f>
        <v>48577.070969322362</v>
      </c>
      <c r="T52" s="321">
        <f>C52/LOOKUP($A52,Barèmes!$A$65:$A$148,Barèmes!$G$65:$G$148)</f>
        <v>33790.720784306228</v>
      </c>
      <c r="U52" s="321">
        <f>H52/LOOKUP($A52,Barèmes!$A$65:$A$148,Barèmes!$G$65:$G$148)</f>
        <v>26748.785258937987</v>
      </c>
      <c r="V52" s="321">
        <f>I52/LOOKUP($A52,Barèmes!$A$65:$A$148,Barèmes!$G$65:$G$148)</f>
        <v>27545.570455031928</v>
      </c>
      <c r="Y52" s="367">
        <v>1</v>
      </c>
      <c r="Z52" s="280">
        <f>IF($Y52=1,IF(I52&lt;LOOKUP($A52,Barèmes!$AB$65:$AB$148,Barèmes!$BM$65:$BM$148),LOOKUP($A52,Barèmes!$AB$65:$AB$148,Barèmes!$BQ$65:$BQ$148),IF(I52&lt;LOOKUP($A52,Barèmes!$AB$65:$AB$148,Barèmes!$BN$65:$BN$148),LOOKUP($A52,Barèmes!$AB$65:$AB$148,Barèmes!$BR$65:$BR$148),IF(I52&lt;LOOKUP($A52,Barèmes!$AB$65:$AB$148,Barèmes!$BO$65:$BO$148),LOOKUP($A52,Barèmes!$AB$65:$AB$148,Barèmes!$BS$65:$BS$148),LOOKUP($A52,Barèmes!$AB$65:$AB$148,Barèmes!$BT$65:$BT$148)))),IF($Y52=2,IF(I52&lt;LOOKUP($A52,Barèmes!$AB$65:$AB$148,Barèmes!$BW$65:$BW$148),LOOKUP($A52,Barèmes!$AB$65:$AB$148,Barèmes!$CA$65:$CA$148),IF(I52&lt;LOOKUP($A52,Barèmes!$AB$65:$AB$148,Barèmes!$BX$65:$BX$148),LOOKUP($A52,Barèmes!$AB$65:$AB$148,Barèmes!$CB$65:$CB$148),IF(I52&lt;LOOKUP($A52,Barèmes!$AB$65:$AB$148,Barèmes!$BY$65:$BY$148),LOOKUP($A52,Barèmes!$AB$65:$AB$148,Barèmes!$CC$65:$CC193),LOOKUP($A52,Barèmes!$AB$65:$AB$148,Barèmes!$CD$65:$CD$148))))))</f>
        <v>9.0999999999999998E-2</v>
      </c>
    </row>
    <row r="53" spans="1:26" x14ac:dyDescent="0.25">
      <c r="A53" s="15">
        <f>B53+Simulation!$D$4</f>
        <v>2063</v>
      </c>
      <c r="B53" s="19">
        <v>63</v>
      </c>
      <c r="C53" s="77">
        <f>IF(AND($B53&gt;=Simulation!$D$5,$B53&lt;Simulation!$D$6),IF(Simulation!$D$3=1,LOOKUP($B53,Info_cas_type!$B$5:$B$55,Info_cas_type!$C$5:$C$55)*LOOKUP($A53,Barèmes!$A$65:$A$148,Barèmes!$D$65:$D$148),IF(Simulation!$D$3=2,LOOKUP($B53,Info_cas_type!$B$5:$B$55,Info_cas_type!$D$5:$D$55)*LOOKUP($A53,Barèmes!$A$65:$A$148,Barèmes!$D$65:$D$148),IF(Simulation!$D$3="2P",LOOKUP($B53,Info_cas_type!$B$5:$B$55,Info_cas_type!$E$5:$E$55)*LOOKUP($A53,Barèmes!$A$65:$A$148,Barèmes!$D$65:$D$148),IF(Simulation!$D$3="2M",LOOKUP($B53,Info_cas_type!$B$5:$B$55,Info_cas_type!$F$5:$F$55)*LOOKUP($A53,Barèmes!$A$65:$A$148,Barèmes!$D$65:$D$148),IF(Simulation!$D$3="SMIC",LOOKUP($A53,Barèmes!$A$65:$A$148,Barèmes!$F$65:$F$148),LOOKUP($B53,Info_cas_type!$B$5:$B$55,Info_cas_type!$G$5:$G$55)*LOOKUP($A53,Barèmes!$A$65:$A$148,Barèmes!$D$65:$D$148)))))),0)*LOOKUP($B53,Info_cas_type!$B$5:$B$55,Info_cas_type!$H$5:$H$55)</f>
        <v>122952.06860621883</v>
      </c>
      <c r="D53" s="56">
        <f>MIN($C53,LOOKUP($A53,Barèmes!$A$65:$A$148,Barèmes!$V$65:$V$148))</f>
        <v>122952.06860621883</v>
      </c>
      <c r="E53" s="56">
        <f>MIN(F53,7*LOOKUP($A53,Barèmes!$A$65:$A$148,Barèmes!$V$65:$V$148))</f>
        <v>0</v>
      </c>
      <c r="F53" s="56">
        <f>IF($C53&gt;LOOKUP($A53,Barèmes!$A$65:$A$148,Barèmes!$V$65:$V$148),($C53-LOOKUP($A53,Barèmes!$A$65:$A$148,Barèmes!$V$65:$V$148)),0)</f>
        <v>0</v>
      </c>
      <c r="H53" s="81">
        <f t="shared" si="0"/>
        <v>97329.041936785739</v>
      </c>
      <c r="I53" s="56">
        <f>H53+LOOKUP($A53,Barèmes!$A$5:$A$148,Barèmes!$CK$5:$CK$148)*C53*(LOOKUP($A53,Barèmes!$CG$65:$CG$148,Barèmes!$CH$65:$CH$148)-LOOKUP($A53,Barèmes!$CG$65:$CG$148,Barèmes!$CI$65:$CI$148))</f>
        <v>100228.25171452037</v>
      </c>
      <c r="K53" s="320">
        <f>LOOKUP($A53,Barèmes!$A$65:$A$148,Barèmes!$K$65:$K$148)-LOOKUP($A53,Barèmes!$A$65:$A$148,Barèmes!$L$65:$L$148)+(LOOKUP($A53,Barèmes!$A$65:$A$148,Barèmes!$AC$65:$AC$148)-LOOKUP($A53,Barèmes!$A$65:$A$148,Barèmes!$AD$65:$AD$148))*LOOKUP($A53,Barèmes!$A$65:$A$148,Barèmes!$AI$65:$AI$148)+LOOKUP($A53,Barèmes!$A$65:$A$148,Barèmes!$AQ$65:$AQ$148)-LOOKUP($A53,Barèmes!$A$65:$A$148,Barèmes!$AR$65:$AR$148)+LOOKUP($A53,Barèmes!$A$65:$A$148,Barèmes!$CL$65:$CL$148)+LOOKUP($A53,Barèmes!$A$65:$A$148,Barèmes!$CM$65:$CM$148)+LOOKUP($A53,Barèmes!$A$5:$A$148,Barèmes!$CK$5:$CK$148)*(LOOKUP($A53,Barèmes!$A$65:$A$148,Barèmes!$CH$65:$CH$148)+LOOKUP($A53,Barèmes!$A$65:$A$148,Barèmes!$CJ$65:$CJ$148))</f>
        <v>0.20839849999999999</v>
      </c>
      <c r="L53" s="320">
        <f>K53+LOOKUP($A53,Barèmes!$A$65:$A$148,Barèmes!$AL$65:$AL$148)-LOOKUP($A53,Barèmes!$A$65:$A$148,Barèmes!$AM$65:$AM$148)+IF($A53&gt;2010,LOOKUP($A53,Barèmes!$CG$5:$CG$148,Barèmes!$CO$5:$CO$148),0)</f>
        <v>0.21003849999999999</v>
      </c>
      <c r="M53" s="320">
        <f>(LOOKUP($A53,Barèmes!$A$65:$A$148,Barèmes!$AF$65:$AF$148)-LOOKUP($A53,Barèmes!$A$65:$A$148,Barèmes!$AG$65:$AG$148))*LOOKUP($A53,Barèmes!$A$65:$A$148,Barèmes!$AI$65:$AI$148)+LOOKUP($A53,Barèmes!$A$65:$A$148,Barèmes!$AL$65:$AL$148)-LOOKUP($A53,Barèmes!$A$65:$A$148,Barèmes!$AM$65:$AM$148)+LOOKUP($A53,Barèmes!$A$65:$A$148,Barèmes!$AV$65:$AV$148)-LOOKUP($A53,Barèmes!$A$65:$A$148,Barèmes!$AW$65:$AW$148)+LOOKUP($A53,Barèmes!$A$65:$A$148,Barèmes!$CN$65:$CN$148)+LOOKUP($A53,Barèmes!$A$65:$A$148,Barèmes!$CO$65:$CO$148)</f>
        <v>9.8799999999999999E-2</v>
      </c>
      <c r="N53" s="320">
        <f>LOOKUP($A53,Barèmes!$A$65:$A$148,Barèmes!$N$65:$N$148)-LOOKUP($A53,Barèmes!$A$65:$A$148,Barèmes!O111:O194)+0.9825*LOOKUP($A53,Barèmes!$A$65:$A$148,Barèmes!$CH$65:$CH$148)+0.9825*LOOKUP($A53,Barèmes!$A$65:$A$148,Barèmes!$CJ$65:$CJ$148)+LOOKUP($A53,Barèmes!$A$65:$A$148,Barèmes!$CL$65:$CL$148)</f>
        <v>0.1183025</v>
      </c>
      <c r="P53" s="321">
        <f>C53/LOOKUP($A53,Barèmes!$A$65:$A$148,Barèmes!$C$65:$C$148)</f>
        <v>60365.173758142875</v>
      </c>
      <c r="Q53" s="321">
        <f>H53/LOOKUP($A53,Barèmes!$A$65:$A$148,Barèmes!$C$65:$C$148)</f>
        <v>47785.162094706538</v>
      </c>
      <c r="R53" s="321">
        <f>I53/LOOKUP($A53,Barèmes!$A$65:$A$148,Barèmes!$C$65:$C$148)</f>
        <v>49208.572891923541</v>
      </c>
      <c r="T53" s="321">
        <f>C53/LOOKUP($A53,Barèmes!$A$65:$A$148,Barèmes!$G$65:$G$148)</f>
        <v>33790.720784306221</v>
      </c>
      <c r="U53" s="321">
        <f>H53/LOOKUP($A53,Barèmes!$A$65:$A$148,Barèmes!$G$65:$G$148)</f>
        <v>26748.78525893798</v>
      </c>
      <c r="V53" s="321">
        <f>I53/LOOKUP($A53,Barèmes!$A$65:$A$148,Barèmes!$G$65:$G$148)</f>
        <v>27545.570455031921</v>
      </c>
      <c r="Y53" s="367">
        <v>1</v>
      </c>
      <c r="Z53" s="280">
        <f>IF($Y53=1,IF(I53&lt;LOOKUP($A53,Barèmes!$AB$65:$AB$148,Barèmes!$BM$65:$BM$148),LOOKUP($A53,Barèmes!$AB$65:$AB$148,Barèmes!$BQ$65:$BQ$148),IF(I53&lt;LOOKUP($A53,Barèmes!$AB$65:$AB$148,Barèmes!$BN$65:$BN$148),LOOKUP($A53,Barèmes!$AB$65:$AB$148,Barèmes!$BR$65:$BR$148),IF(I53&lt;LOOKUP($A53,Barèmes!$AB$65:$AB$148,Barèmes!$BO$65:$BO$148),LOOKUP($A53,Barèmes!$AB$65:$AB$148,Barèmes!$BS$65:$BS$148),LOOKUP($A53,Barèmes!$AB$65:$AB$148,Barèmes!$BT$65:$BT$148)))),IF($Y53=2,IF(I53&lt;LOOKUP($A53,Barèmes!$AB$65:$AB$148,Barèmes!$BW$65:$BW$148),LOOKUP($A53,Barèmes!$AB$65:$AB$148,Barèmes!$CA$65:$CA$148),IF(I53&lt;LOOKUP($A53,Barèmes!$AB$65:$AB$148,Barèmes!$BX$65:$BX$148),LOOKUP($A53,Barèmes!$AB$65:$AB$148,Barèmes!$CB$65:$CB$148),IF(I53&lt;LOOKUP($A53,Barèmes!$AB$65:$AB$148,Barèmes!$BY$65:$BY$148),LOOKUP($A53,Barèmes!$AB$65:$AB$148,Barèmes!$CC$65:$CC194),LOOKUP($A53,Barèmes!$AB$65:$AB$148,Barèmes!$CD$65:$CD$148))))))</f>
        <v>9.0999999999999998E-2</v>
      </c>
    </row>
    <row r="54" spans="1:26" x14ac:dyDescent="0.25">
      <c r="A54" s="15">
        <f>B54+Simulation!$D$4</f>
        <v>2064</v>
      </c>
      <c r="B54" s="19">
        <v>64</v>
      </c>
      <c r="C54" s="77">
        <f>IF(AND($B54&gt;=Simulation!$D$5,$B54&lt;Simulation!$D$6),IF(Simulation!$D$3=1,LOOKUP($B54,Info_cas_type!$B$5:$B$55,Info_cas_type!$C$5:$C$55)*LOOKUP($A54,Barèmes!$A$65:$A$148,Barèmes!$D$65:$D$148),IF(Simulation!$D$3=2,LOOKUP($B54,Info_cas_type!$B$5:$B$55,Info_cas_type!$D$5:$D$55)*LOOKUP($A54,Barèmes!$A$65:$A$148,Barèmes!$D$65:$D$148),IF(Simulation!$D$3="2P",LOOKUP($B54,Info_cas_type!$B$5:$B$55,Info_cas_type!$E$5:$E$55)*LOOKUP($A54,Barèmes!$A$65:$A$148,Barèmes!$D$65:$D$148),IF(Simulation!$D$3="2M",LOOKUP($B54,Info_cas_type!$B$5:$B$55,Info_cas_type!$F$5:$F$55)*LOOKUP($A54,Barèmes!$A$65:$A$148,Barèmes!$D$65:$D$148),IF(Simulation!$D$3="SMIC",LOOKUP($A54,Barèmes!$A$65:$A$148,Barèmes!$F$65:$F$148),LOOKUP($B54,Info_cas_type!$B$5:$B$55,Info_cas_type!$G$5:$G$55)*LOOKUP($A54,Barèmes!$A$65:$A$148,Barèmes!$D$65:$D$148)))))),0)*LOOKUP($B54,Info_cas_type!$B$5:$B$55,Info_cas_type!$H$5:$H$55)</f>
        <v>0</v>
      </c>
      <c r="D54" s="56">
        <f>MIN($C54,LOOKUP($A54,Barèmes!$A$65:$A$148,Barèmes!$V$65:$V$148))</f>
        <v>0</v>
      </c>
      <c r="E54" s="56">
        <f>MIN(F54,7*LOOKUP($A54,Barèmes!$A$65:$A$148,Barèmes!$V$65:$V$148))</f>
        <v>0</v>
      </c>
      <c r="F54" s="56">
        <f>IF($C54&gt;LOOKUP($A54,Barèmes!$A$65:$A$148,Barèmes!$V$65:$V$148),($C54-LOOKUP($A54,Barèmes!$A$65:$A$148,Barèmes!$V$65:$V$148)),0)</f>
        <v>0</v>
      </c>
      <c r="H54" s="81">
        <f t="shared" si="0"/>
        <v>0</v>
      </c>
      <c r="I54" s="56">
        <f>H54+LOOKUP($A54,Barèmes!$A$5:$A$148,Barèmes!$CK$5:$CK$148)*C54*(LOOKUP($A54,Barèmes!$CG$65:$CG$148,Barèmes!$CH$65:$CH$148)-LOOKUP($A54,Barèmes!$CG$65:$CG$148,Barèmes!$CI$65:$CI$148))</f>
        <v>0</v>
      </c>
      <c r="K54" s="320">
        <f>LOOKUP($A54,Barèmes!$A$65:$A$148,Barèmes!$K$65:$K$148)-LOOKUP($A54,Barèmes!$A$65:$A$148,Barèmes!$L$65:$L$148)+(LOOKUP($A54,Barèmes!$A$65:$A$148,Barèmes!$AC$65:$AC$148)-LOOKUP($A54,Barèmes!$A$65:$A$148,Barèmes!$AD$65:$AD$148))*LOOKUP($A54,Barèmes!$A$65:$A$148,Barèmes!$AI$65:$AI$148)+LOOKUP($A54,Barèmes!$A$65:$A$148,Barèmes!$AQ$65:$AQ$148)-LOOKUP($A54,Barèmes!$A$65:$A$148,Barèmes!$AR$65:$AR$148)+LOOKUP($A54,Barèmes!$A$65:$A$148,Barèmes!$CL$65:$CL$148)+LOOKUP($A54,Barèmes!$A$65:$A$148,Barèmes!$CM$65:$CM$148)+LOOKUP($A54,Barèmes!$A$5:$A$148,Barèmes!$CK$5:$CK$148)*(LOOKUP($A54,Barèmes!$A$65:$A$148,Barèmes!$CH$65:$CH$148)+LOOKUP($A54,Barèmes!$A$65:$A$148,Barèmes!$CJ$65:$CJ$148))</f>
        <v>0.20839849999999999</v>
      </c>
      <c r="L54" s="320">
        <f>K54+LOOKUP($A54,Barèmes!$A$65:$A$148,Barèmes!$AL$65:$AL$148)-LOOKUP($A54,Barèmes!$A$65:$A$148,Barèmes!$AM$65:$AM$148)+IF($A54&gt;2010,LOOKUP($A54,Barèmes!$CG$5:$CG$148,Barèmes!$CO$5:$CO$148),0)</f>
        <v>0.21003849999999999</v>
      </c>
      <c r="M54" s="320">
        <f>(LOOKUP($A54,Barèmes!$A$65:$A$148,Barèmes!$AF$65:$AF$148)-LOOKUP($A54,Barèmes!$A$65:$A$148,Barèmes!$AG$65:$AG$148))*LOOKUP($A54,Barèmes!$A$65:$A$148,Barèmes!$AI$65:$AI$148)+LOOKUP($A54,Barèmes!$A$65:$A$148,Barèmes!$AL$65:$AL$148)-LOOKUP($A54,Barèmes!$A$65:$A$148,Barèmes!$AM$65:$AM$148)+LOOKUP($A54,Barèmes!$A$65:$A$148,Barèmes!$AV$65:$AV$148)-LOOKUP($A54,Barèmes!$A$65:$A$148,Barèmes!$AW$65:$AW$148)+LOOKUP($A54,Barèmes!$A$65:$A$148,Barèmes!$CN$65:$CN$148)+LOOKUP($A54,Barèmes!$A$65:$A$148,Barèmes!$CO$65:$CO$148)</f>
        <v>9.8799999999999999E-2</v>
      </c>
      <c r="N54" s="320">
        <f>LOOKUP($A54,Barèmes!$A$65:$A$148,Barèmes!$N$65:$N$148)-LOOKUP($A54,Barèmes!$A$65:$A$148,Barèmes!O112:O195)+0.9825*LOOKUP($A54,Barèmes!$A$65:$A$148,Barèmes!$CH$65:$CH$148)+0.9825*LOOKUP($A54,Barèmes!$A$65:$A$148,Barèmes!$CJ$65:$CJ$148)+LOOKUP($A54,Barèmes!$A$65:$A$148,Barèmes!$CL$65:$CL$148)</f>
        <v>0.1183025</v>
      </c>
      <c r="P54" s="321">
        <f>C54/LOOKUP($A54,Barèmes!$A$65:$A$148,Barèmes!$C$65:$C$148)</f>
        <v>0</v>
      </c>
      <c r="Q54" s="321">
        <f>H54/LOOKUP($A54,Barèmes!$A$65:$A$148,Barèmes!$C$65:$C$148)</f>
        <v>0</v>
      </c>
      <c r="R54" s="321">
        <f>I54/LOOKUP($A54,Barèmes!$A$65:$A$148,Barèmes!$C$65:$C$148)</f>
        <v>0</v>
      </c>
      <c r="T54" s="321">
        <f>C54/LOOKUP($A54,Barèmes!$A$65:$A$148,Barèmes!$G$65:$G$148)</f>
        <v>0</v>
      </c>
      <c r="U54" s="321">
        <f>H54/LOOKUP($A54,Barèmes!$A$65:$A$148,Barèmes!$G$65:$G$148)</f>
        <v>0</v>
      </c>
      <c r="V54" s="321">
        <f>I54/LOOKUP($A54,Barèmes!$A$65:$A$148,Barèmes!$G$65:$G$148)</f>
        <v>0</v>
      </c>
      <c r="Y54" s="367">
        <v>1</v>
      </c>
      <c r="Z54" s="280">
        <f>IF($Y54=1,IF(I54&lt;LOOKUP($A54,Barèmes!$AB$65:$AB$148,Barèmes!$BM$65:$BM$148),LOOKUP($A54,Barèmes!$AB$65:$AB$148,Barèmes!$BQ$65:$BQ$148),IF(I54&lt;LOOKUP($A54,Barèmes!$AB$65:$AB$148,Barèmes!$BN$65:$BN$148),LOOKUP($A54,Barèmes!$AB$65:$AB$148,Barèmes!$BR$65:$BR$148),IF(I54&lt;LOOKUP($A54,Barèmes!$AB$65:$AB$148,Barèmes!$BO$65:$BO$148),LOOKUP($A54,Barèmes!$AB$65:$AB$148,Barèmes!$BS$65:$BS$148),LOOKUP($A54,Barèmes!$AB$65:$AB$148,Barèmes!$BT$65:$BT$148)))),IF($Y54=2,IF(I54&lt;LOOKUP($A54,Barèmes!$AB$65:$AB$148,Barèmes!$BW$65:$BW$148),LOOKUP($A54,Barèmes!$AB$65:$AB$148,Barèmes!$CA$65:$CA$148),IF(I54&lt;LOOKUP($A54,Barèmes!$AB$65:$AB$148,Barèmes!$BX$65:$BX$148),LOOKUP($A54,Barèmes!$AB$65:$AB$148,Barèmes!$CB$65:$CB$148),IF(I54&lt;LOOKUP($A54,Barèmes!$AB$65:$AB$148,Barèmes!$BY$65:$BY$148),LOOKUP($A54,Barèmes!$AB$65:$AB$148,Barèmes!$CC$65:$CC195),LOOKUP($A54,Barèmes!$AB$65:$AB$148,Barèmes!$CD$65:$CD$148))))))</f>
        <v>0</v>
      </c>
    </row>
    <row r="55" spans="1:26" x14ac:dyDescent="0.25">
      <c r="A55" s="15">
        <f>B55+Simulation!$D$4</f>
        <v>2065</v>
      </c>
      <c r="B55" s="19">
        <v>65</v>
      </c>
      <c r="C55" s="77">
        <f>IF(AND($B55&gt;=Simulation!$D$5,$B55&lt;Simulation!$D$6),IF(Simulation!$D$3=1,LOOKUP($B55,Info_cas_type!$B$5:$B$55,Info_cas_type!$C$5:$C$55)*LOOKUP($A55,Barèmes!$A$65:$A$148,Barèmes!$D$65:$D$148),IF(Simulation!$D$3=2,LOOKUP($B55,Info_cas_type!$B$5:$B$55,Info_cas_type!$D$5:$D$55)*LOOKUP($A55,Barèmes!$A$65:$A$148,Barèmes!$D$65:$D$148),IF(Simulation!$D$3="2P",LOOKUP($B55,Info_cas_type!$B$5:$B$55,Info_cas_type!$E$5:$E$55)*LOOKUP($A55,Barèmes!$A$65:$A$148,Barèmes!$D$65:$D$148),IF(Simulation!$D$3="2M",LOOKUP($B55,Info_cas_type!$B$5:$B$55,Info_cas_type!$F$5:$F$55)*LOOKUP($A55,Barèmes!$A$65:$A$148,Barèmes!$D$65:$D$148),IF(Simulation!$D$3="SMIC",LOOKUP($A55,Barèmes!$A$65:$A$148,Barèmes!$F$65:$F$148),LOOKUP($B55,Info_cas_type!$B$5:$B$55,Info_cas_type!$G$5:$G$55)*LOOKUP($A55,Barèmes!$A$65:$A$148,Barèmes!$D$65:$D$148)))))),0)*LOOKUP($B55,Info_cas_type!$B$5:$B$55,Info_cas_type!$H$5:$H$55)</f>
        <v>0</v>
      </c>
      <c r="D55" s="56">
        <f>MIN($C55,LOOKUP($A55,Barèmes!$A$65:$A$148,Barèmes!$V$65:$V$148))</f>
        <v>0</v>
      </c>
      <c r="E55" s="56">
        <f>MIN(F55,7*LOOKUP($A55,Barèmes!$A$65:$A$148,Barèmes!$V$65:$V$148))</f>
        <v>0</v>
      </c>
      <c r="F55" s="56">
        <f>IF($C55&gt;LOOKUP($A55,Barèmes!$A$65:$A$148,Barèmes!$V$65:$V$148),($C55-LOOKUP($A55,Barèmes!$A$65:$A$148,Barèmes!$V$65:$V$148)),0)</f>
        <v>0</v>
      </c>
      <c r="H55" s="81">
        <f t="shared" si="0"/>
        <v>0</v>
      </c>
      <c r="I55" s="56">
        <f>H55+LOOKUP($A55,Barèmes!$A$5:$A$148,Barèmes!$CK$5:$CK$148)*C55*(LOOKUP($A55,Barèmes!$CG$65:$CG$148,Barèmes!$CH$65:$CH$148)-LOOKUP($A55,Barèmes!$CG$65:$CG$148,Barèmes!$CI$65:$CI$148))</f>
        <v>0</v>
      </c>
      <c r="K55" s="320">
        <f>LOOKUP($A55,Barèmes!$A$65:$A$148,Barèmes!$K$65:$K$148)-LOOKUP($A55,Barèmes!$A$65:$A$148,Barèmes!$L$65:$L$148)+(LOOKUP($A55,Barèmes!$A$65:$A$148,Barèmes!$AC$65:$AC$148)-LOOKUP($A55,Barèmes!$A$65:$A$148,Barèmes!$AD$65:$AD$148))*LOOKUP($A55,Barèmes!$A$65:$A$148,Barèmes!$AI$65:$AI$148)+LOOKUP($A55,Barèmes!$A$65:$A$148,Barèmes!$AQ$65:$AQ$148)-LOOKUP($A55,Barèmes!$A$65:$A$148,Barèmes!$AR$65:$AR$148)+LOOKUP($A55,Barèmes!$A$65:$A$148,Barèmes!$CL$65:$CL$148)+LOOKUP($A55,Barèmes!$A$65:$A$148,Barèmes!$CM$65:$CM$148)+LOOKUP($A55,Barèmes!$A$5:$A$148,Barèmes!$CK$5:$CK$148)*(LOOKUP($A55,Barèmes!$A$65:$A$148,Barèmes!$CH$65:$CH$148)+LOOKUP($A55,Barèmes!$A$65:$A$148,Barèmes!$CJ$65:$CJ$148))</f>
        <v>0.20839849999999999</v>
      </c>
      <c r="L55" s="320">
        <f>K55+LOOKUP($A55,Barèmes!$A$65:$A$148,Barèmes!$AL$65:$AL$148)-LOOKUP($A55,Barèmes!$A$65:$A$148,Barèmes!$AM$65:$AM$148)+IF($A55&gt;2010,LOOKUP($A55,Barèmes!$CG$5:$CG$148,Barèmes!$CO$5:$CO$148),0)</f>
        <v>0.21003849999999999</v>
      </c>
      <c r="M55" s="320">
        <f>(LOOKUP($A55,Barèmes!$A$65:$A$148,Barèmes!$AF$65:$AF$148)-LOOKUP($A55,Barèmes!$A$65:$A$148,Barèmes!$AG$65:$AG$148))*LOOKUP($A55,Barèmes!$A$65:$A$148,Barèmes!$AI$65:$AI$148)+LOOKUP($A55,Barèmes!$A$65:$A$148,Barèmes!$AL$65:$AL$148)-LOOKUP($A55,Barèmes!$A$65:$A$148,Barèmes!$AM$65:$AM$148)+LOOKUP($A55,Barèmes!$A$65:$A$148,Barèmes!$AV$65:$AV$148)-LOOKUP($A55,Barèmes!$A$65:$A$148,Barèmes!$AW$65:$AW$148)+LOOKUP($A55,Barèmes!$A$65:$A$148,Barèmes!$CN$65:$CN$148)+LOOKUP($A55,Barèmes!$A$65:$A$148,Barèmes!$CO$65:$CO$148)</f>
        <v>9.8799999999999999E-2</v>
      </c>
      <c r="N55" s="320">
        <f>LOOKUP($A55,Barèmes!$A$65:$A$148,Barèmes!$N$65:$N$148)-LOOKUP($A55,Barèmes!$A$65:$A$148,Barèmes!O113:O196)+0.9825*LOOKUP($A55,Barèmes!$A$65:$A$148,Barèmes!$CH$65:$CH$148)+0.9825*LOOKUP($A55,Barèmes!$A$65:$A$148,Barèmes!$CJ$65:$CJ$148)+LOOKUP($A55,Barèmes!$A$65:$A$148,Barèmes!$CL$65:$CL$148)</f>
        <v>0.1183025</v>
      </c>
      <c r="P55" s="321">
        <f>C55/LOOKUP($A55,Barèmes!$A$65:$A$148,Barèmes!$C$65:$C$148)</f>
        <v>0</v>
      </c>
      <c r="Q55" s="321">
        <f>H55/LOOKUP($A55,Barèmes!$A$65:$A$148,Barèmes!$C$65:$C$148)</f>
        <v>0</v>
      </c>
      <c r="R55" s="321">
        <f>I55/LOOKUP($A55,Barèmes!$A$65:$A$148,Barèmes!$C$65:$C$148)</f>
        <v>0</v>
      </c>
      <c r="T55" s="321">
        <f>C55/LOOKUP($A55,Barèmes!$A$65:$A$148,Barèmes!$G$65:$G$148)</f>
        <v>0</v>
      </c>
      <c r="U55" s="321">
        <f>H55/LOOKUP($A55,Barèmes!$A$65:$A$148,Barèmes!$G$65:$G$148)</f>
        <v>0</v>
      </c>
      <c r="V55" s="321">
        <f>I55/LOOKUP($A55,Barèmes!$A$65:$A$148,Barèmes!$G$65:$G$148)</f>
        <v>0</v>
      </c>
      <c r="Y55" s="367">
        <v>1</v>
      </c>
      <c r="Z55" s="280">
        <f>IF($Y55=1,IF(I55&lt;LOOKUP($A55,Barèmes!$AB$65:$AB$148,Barèmes!$BM$65:$BM$148),LOOKUP($A55,Barèmes!$AB$65:$AB$148,Barèmes!$BQ$65:$BQ$148),IF(I55&lt;LOOKUP($A55,Barèmes!$AB$65:$AB$148,Barèmes!$BN$65:$BN$148),LOOKUP($A55,Barèmes!$AB$65:$AB$148,Barèmes!$BR$65:$BR$148),IF(I55&lt;LOOKUP($A55,Barèmes!$AB$65:$AB$148,Barèmes!$BO$65:$BO$148),LOOKUP($A55,Barèmes!$AB$65:$AB$148,Barèmes!$BS$65:$BS$148),LOOKUP($A55,Barèmes!$AB$65:$AB$148,Barèmes!$BT$65:$BT$148)))),IF($Y55=2,IF(I55&lt;LOOKUP($A55,Barèmes!$AB$65:$AB$148,Barèmes!$BW$65:$BW$148),LOOKUP($A55,Barèmes!$AB$65:$AB$148,Barèmes!$CA$65:$CA$148),IF(I55&lt;LOOKUP($A55,Barèmes!$AB$65:$AB$148,Barèmes!$BX$65:$BX$148),LOOKUP($A55,Barèmes!$AB$65:$AB$148,Barèmes!$CB$65:$CB$148),IF(I55&lt;LOOKUP($A55,Barèmes!$AB$65:$AB$148,Barèmes!$BY$65:$BY$148),LOOKUP($A55,Barèmes!$AB$65:$AB$148,Barèmes!$CC$65:$CC196),LOOKUP($A55,Barèmes!$AB$65:$AB$148,Barèmes!$CD$65:$CD$148))))))</f>
        <v>0</v>
      </c>
    </row>
    <row r="56" spans="1:26" x14ac:dyDescent="0.25">
      <c r="A56" s="15">
        <f>B56+Simulation!$D$4</f>
        <v>2066</v>
      </c>
      <c r="B56" s="19">
        <v>66</v>
      </c>
      <c r="C56" s="77">
        <f>IF(AND($B56&gt;=Simulation!$D$5,$B56&lt;Simulation!$D$6),IF(Simulation!$D$3=1,LOOKUP($B56,Info_cas_type!$B$5:$B$55,Info_cas_type!$C$5:$C$55)*LOOKUP($A56,Barèmes!$A$65:$A$148,Barèmes!$D$65:$D$148),IF(Simulation!$D$3=2,LOOKUP($B56,Info_cas_type!$B$5:$B$55,Info_cas_type!$D$5:$D$55)*LOOKUP($A56,Barèmes!$A$65:$A$148,Barèmes!$D$65:$D$148),IF(Simulation!$D$3="2P",LOOKUP($B56,Info_cas_type!$B$5:$B$55,Info_cas_type!$E$5:$E$55)*LOOKUP($A56,Barèmes!$A$65:$A$148,Barèmes!$D$65:$D$148),IF(Simulation!$D$3="2M",LOOKUP($B56,Info_cas_type!$B$5:$B$55,Info_cas_type!$F$5:$F$55)*LOOKUP($A56,Barèmes!$A$65:$A$148,Barèmes!$D$65:$D$148),IF(Simulation!$D$3="SMIC",LOOKUP($A56,Barèmes!$A$65:$A$148,Barèmes!$F$65:$F$148),LOOKUP($B56,Info_cas_type!$B$5:$B$55,Info_cas_type!$G$5:$G$55)*LOOKUP($A56,Barèmes!$A$65:$A$148,Barèmes!$D$65:$D$148)))))),0)*LOOKUP($B56,Info_cas_type!$B$5:$B$55,Info_cas_type!$H$5:$H$55)</f>
        <v>0</v>
      </c>
      <c r="D56" s="56">
        <f>MIN($C56,LOOKUP($A56,Barèmes!$A$65:$A$148,Barèmes!$V$65:$V$148))</f>
        <v>0</v>
      </c>
      <c r="E56" s="56">
        <f>MIN(F56,7*LOOKUP($A56,Barèmes!$A$65:$A$148,Barèmes!$V$65:$V$148))</f>
        <v>0</v>
      </c>
      <c r="F56" s="56">
        <f>IF($C56&gt;LOOKUP($A56,Barèmes!$A$65:$A$148,Barèmes!$V$65:$V$148),($C56-LOOKUP($A56,Barèmes!$A$65:$A$148,Barèmes!$V$65:$V$148)),0)</f>
        <v>0</v>
      </c>
      <c r="H56" s="81">
        <f t="shared" si="0"/>
        <v>0</v>
      </c>
      <c r="I56" s="56">
        <f>H56+LOOKUP($A56,Barèmes!$A$5:$A$148,Barèmes!$CK$5:$CK$148)*C56*(LOOKUP($A56,Barèmes!$CG$65:$CG$148,Barèmes!$CH$65:$CH$148)-LOOKUP($A56,Barèmes!$CG$65:$CG$148,Barèmes!$CI$65:$CI$148))</f>
        <v>0</v>
      </c>
      <c r="K56" s="320">
        <f>LOOKUP($A56,Barèmes!$A$65:$A$148,Barèmes!$K$65:$K$148)-LOOKUP($A56,Barèmes!$A$65:$A$148,Barèmes!$L$65:$L$148)+(LOOKUP($A56,Barèmes!$A$65:$A$148,Barèmes!$AC$65:$AC$148)-LOOKUP($A56,Barèmes!$A$65:$A$148,Barèmes!$AD$65:$AD$148))*LOOKUP($A56,Barèmes!$A$65:$A$148,Barèmes!$AI$65:$AI$148)+LOOKUP($A56,Barèmes!$A$65:$A$148,Barèmes!$AQ$65:$AQ$148)-LOOKUP($A56,Barèmes!$A$65:$A$148,Barèmes!$AR$65:$AR$148)+LOOKUP($A56,Barèmes!$A$65:$A$148,Barèmes!$CL$65:$CL$148)+LOOKUP($A56,Barèmes!$A$65:$A$148,Barèmes!$CM$65:$CM$148)+LOOKUP($A56,Barèmes!$A$5:$A$148,Barèmes!$CK$5:$CK$148)*(LOOKUP($A56,Barèmes!$A$65:$A$148,Barèmes!$CH$65:$CH$148)+LOOKUP($A56,Barèmes!$A$65:$A$148,Barèmes!$CJ$65:$CJ$148))</f>
        <v>0.20839849999999999</v>
      </c>
      <c r="L56" s="320">
        <f>K56+LOOKUP($A56,Barèmes!$A$65:$A$148,Barèmes!$AL$65:$AL$148)-LOOKUP($A56,Barèmes!$A$65:$A$148,Barèmes!$AM$65:$AM$148)+IF($A56&gt;2010,LOOKUP($A56,Barèmes!$CG$5:$CG$148,Barèmes!$CO$5:$CO$148),0)</f>
        <v>0.21003849999999999</v>
      </c>
      <c r="M56" s="320">
        <f>(LOOKUP($A56,Barèmes!$A$65:$A$148,Barèmes!$AF$65:$AF$148)-LOOKUP($A56,Barèmes!$A$65:$A$148,Barèmes!$AG$65:$AG$148))*LOOKUP($A56,Barèmes!$A$65:$A$148,Barèmes!$AI$65:$AI$148)+LOOKUP($A56,Barèmes!$A$65:$A$148,Barèmes!$AL$65:$AL$148)-LOOKUP($A56,Barèmes!$A$65:$A$148,Barèmes!$AM$65:$AM$148)+LOOKUP($A56,Barèmes!$A$65:$A$148,Barèmes!$AV$65:$AV$148)-LOOKUP($A56,Barèmes!$A$65:$A$148,Barèmes!$AW$65:$AW$148)+LOOKUP($A56,Barèmes!$A$65:$A$148,Barèmes!$CN$65:$CN$148)+LOOKUP($A56,Barèmes!$A$65:$A$148,Barèmes!$CO$65:$CO$148)</f>
        <v>9.8799999999999999E-2</v>
      </c>
      <c r="N56" s="320">
        <f>LOOKUP($A56,Barèmes!$A$65:$A$148,Barèmes!$N$65:$N$148)-LOOKUP($A56,Barèmes!$A$65:$A$148,Barèmes!O114:O197)+0.9825*LOOKUP($A56,Barèmes!$A$65:$A$148,Barèmes!$CH$65:$CH$148)+0.9825*LOOKUP($A56,Barèmes!$A$65:$A$148,Barèmes!$CJ$65:$CJ$148)+LOOKUP($A56,Barèmes!$A$65:$A$148,Barèmes!$CL$65:$CL$148)</f>
        <v>0.1183025</v>
      </c>
      <c r="P56" s="321">
        <f>C56/LOOKUP($A56,Barèmes!$A$65:$A$148,Barèmes!$C$65:$C$148)</f>
        <v>0</v>
      </c>
      <c r="Q56" s="321">
        <f>H56/LOOKUP($A56,Barèmes!$A$65:$A$148,Barèmes!$C$65:$C$148)</f>
        <v>0</v>
      </c>
      <c r="R56" s="321">
        <f>I56/LOOKUP($A56,Barèmes!$A$65:$A$148,Barèmes!$C$65:$C$148)</f>
        <v>0</v>
      </c>
      <c r="T56" s="321">
        <f>C56/LOOKUP($A56,Barèmes!$A$65:$A$148,Barèmes!$G$65:$G$148)</f>
        <v>0</v>
      </c>
      <c r="U56" s="321">
        <f>H56/LOOKUP($A56,Barèmes!$A$65:$A$148,Barèmes!$G$65:$G$148)</f>
        <v>0</v>
      </c>
      <c r="V56" s="321">
        <f>I56/LOOKUP($A56,Barèmes!$A$65:$A$148,Barèmes!$G$65:$G$148)</f>
        <v>0</v>
      </c>
      <c r="Y56" s="367">
        <v>1</v>
      </c>
      <c r="Z56" s="280">
        <f>IF($Y56=1,IF(I56&lt;LOOKUP($A56,Barèmes!$AB$65:$AB$148,Barèmes!$BM$65:$BM$148),LOOKUP($A56,Barèmes!$AB$65:$AB$148,Barèmes!$BQ$65:$BQ$148),IF(I56&lt;LOOKUP($A56,Barèmes!$AB$65:$AB$148,Barèmes!$BN$65:$BN$148),LOOKUP($A56,Barèmes!$AB$65:$AB$148,Barèmes!$BR$65:$BR$148),IF(I56&lt;LOOKUP($A56,Barèmes!$AB$65:$AB$148,Barèmes!$BO$65:$BO$148),LOOKUP($A56,Barèmes!$AB$65:$AB$148,Barèmes!$BS$65:$BS$148),LOOKUP($A56,Barèmes!$AB$65:$AB$148,Barèmes!$BT$65:$BT$148)))),IF($Y56=2,IF(I56&lt;LOOKUP($A56,Barèmes!$AB$65:$AB$148,Barèmes!$BW$65:$BW$148),LOOKUP($A56,Barèmes!$AB$65:$AB$148,Barèmes!$CA$65:$CA$148),IF(I56&lt;LOOKUP($A56,Barèmes!$AB$65:$AB$148,Barèmes!$BX$65:$BX$148),LOOKUP($A56,Barèmes!$AB$65:$AB$148,Barèmes!$CB$65:$CB$148),IF(I56&lt;LOOKUP($A56,Barèmes!$AB$65:$AB$148,Barèmes!$BY$65:$BY$148),LOOKUP($A56,Barèmes!$AB$65:$AB$148,Barèmes!$CC$65:$CC197),LOOKUP($A56,Barèmes!$AB$65:$AB$148,Barèmes!$CD$65:$CD$148))))))</f>
        <v>0</v>
      </c>
    </row>
    <row r="57" spans="1:26" x14ac:dyDescent="0.25">
      <c r="A57" s="15">
        <f>B57+Simulation!$D$4</f>
        <v>2067</v>
      </c>
      <c r="B57" s="19">
        <v>67</v>
      </c>
      <c r="C57" s="77">
        <f>IF(AND($B57&gt;=Simulation!$D$5,$B57&lt;Simulation!$D$6),IF(Simulation!$D$3=1,LOOKUP($B57,Info_cas_type!$B$5:$B$55,Info_cas_type!$C$5:$C$55)*LOOKUP($A57,Barèmes!$A$65:$A$148,Barèmes!$D$65:$D$148),IF(Simulation!$D$3=2,LOOKUP($B57,Info_cas_type!$B$5:$B$55,Info_cas_type!$D$5:$D$55)*LOOKUP($A57,Barèmes!$A$65:$A$148,Barèmes!$D$65:$D$148),IF(Simulation!$D$3="2P",LOOKUP($B57,Info_cas_type!$B$5:$B$55,Info_cas_type!$E$5:$E$55)*LOOKUP($A57,Barèmes!$A$65:$A$148,Barèmes!$D$65:$D$148),IF(Simulation!$D$3="2M",LOOKUP($B57,Info_cas_type!$B$5:$B$55,Info_cas_type!$F$5:$F$55)*LOOKUP($A57,Barèmes!$A$65:$A$148,Barèmes!$D$65:$D$148),IF(Simulation!$D$3="SMIC",LOOKUP($A57,Barèmes!$A$65:$A$148,Barèmes!$F$65:$F$148),LOOKUP($B57,Info_cas_type!$B$5:$B$55,Info_cas_type!$G$5:$G$55)*LOOKUP($A57,Barèmes!$A$65:$A$148,Barèmes!$D$65:$D$148)))))),0)*LOOKUP($B57,Info_cas_type!$B$5:$B$55,Info_cas_type!$H$5:$H$55)</f>
        <v>0</v>
      </c>
      <c r="D57" s="56">
        <f>MIN($C57,LOOKUP($A57,Barèmes!$A$65:$A$148,Barèmes!$V$65:$V$148))</f>
        <v>0</v>
      </c>
      <c r="E57" s="56">
        <f>MIN(F57,7*LOOKUP($A57,Barèmes!$A$65:$A$148,Barèmes!$V$65:$V$148))</f>
        <v>0</v>
      </c>
      <c r="F57" s="56">
        <f>IF($C57&gt;LOOKUP($A57,Barèmes!$A$65:$A$148,Barèmes!$V$65:$V$148),($C57-LOOKUP($A57,Barèmes!$A$65:$A$148,Barèmes!$V$65:$V$148)),0)</f>
        <v>0</v>
      </c>
      <c r="H57" s="81">
        <f t="shared" si="0"/>
        <v>0</v>
      </c>
      <c r="I57" s="56">
        <f>H57+LOOKUP($A57,Barèmes!$A$5:$A$148,Barèmes!$CK$5:$CK$148)*C57*(LOOKUP($A57,Barèmes!$CG$65:$CG$148,Barèmes!$CH$65:$CH$148)-LOOKUP($A57,Barèmes!$CG$65:$CG$148,Barèmes!$CI$65:$CI$148))</f>
        <v>0</v>
      </c>
      <c r="K57" s="320">
        <f>LOOKUP($A57,Barèmes!$A$65:$A$148,Barèmes!$K$65:$K$148)-LOOKUP($A57,Barèmes!$A$65:$A$148,Barèmes!$L$65:$L$148)+(LOOKUP($A57,Barèmes!$A$65:$A$148,Barèmes!$AC$65:$AC$148)-LOOKUP($A57,Barèmes!$A$65:$A$148,Barèmes!$AD$65:$AD$148))*LOOKUP($A57,Barèmes!$A$65:$A$148,Barèmes!$AI$65:$AI$148)+LOOKUP($A57,Barèmes!$A$65:$A$148,Barèmes!$AQ$65:$AQ$148)-LOOKUP($A57,Barèmes!$A$65:$A$148,Barèmes!$AR$65:$AR$148)+LOOKUP($A57,Barèmes!$A$65:$A$148,Barèmes!$CL$65:$CL$148)+LOOKUP($A57,Barèmes!$A$65:$A$148,Barèmes!$CM$65:$CM$148)+LOOKUP($A57,Barèmes!$A$5:$A$148,Barèmes!$CK$5:$CK$148)*(LOOKUP($A57,Barèmes!$A$65:$A$148,Barèmes!$CH$65:$CH$148)+LOOKUP($A57,Barèmes!$A$65:$A$148,Barèmes!$CJ$65:$CJ$148))</f>
        <v>0.20839849999999999</v>
      </c>
      <c r="L57" s="320">
        <f>K57+LOOKUP($A57,Barèmes!$A$65:$A$148,Barèmes!$AL$65:$AL$148)-LOOKUP($A57,Barèmes!$A$65:$A$148,Barèmes!$AM$65:$AM$148)+IF($A57&gt;2010,LOOKUP($A57,Barèmes!$CG$5:$CG$148,Barèmes!$CO$5:$CO$148),0)</f>
        <v>0.21003849999999999</v>
      </c>
      <c r="M57" s="320">
        <f>(LOOKUP($A57,Barèmes!$A$65:$A$148,Barèmes!$AF$65:$AF$148)-LOOKUP($A57,Barèmes!$A$65:$A$148,Barèmes!$AG$65:$AG$148))*LOOKUP($A57,Barèmes!$A$65:$A$148,Barèmes!$AI$65:$AI$148)+LOOKUP($A57,Barèmes!$A$65:$A$148,Barèmes!$AL$65:$AL$148)-LOOKUP($A57,Barèmes!$A$65:$A$148,Barèmes!$AM$65:$AM$148)+LOOKUP($A57,Barèmes!$A$65:$A$148,Barèmes!$AV$65:$AV$148)-LOOKUP($A57,Barèmes!$A$65:$A$148,Barèmes!$AW$65:$AW$148)+LOOKUP($A57,Barèmes!$A$65:$A$148,Barèmes!$CN$65:$CN$148)+LOOKUP($A57,Barèmes!$A$65:$A$148,Barèmes!$CO$65:$CO$148)</f>
        <v>9.8799999999999999E-2</v>
      </c>
      <c r="N57" s="320">
        <f>LOOKUP($A57,Barèmes!$A$65:$A$148,Barèmes!$N$65:$N$148)-LOOKUP($A57,Barèmes!$A$65:$A$148,Barèmes!O115:O198)+0.9825*LOOKUP($A57,Barèmes!$A$65:$A$148,Barèmes!$CH$65:$CH$148)+0.9825*LOOKUP($A57,Barèmes!$A$65:$A$148,Barèmes!$CJ$65:$CJ$148)+LOOKUP($A57,Barèmes!$A$65:$A$148,Barèmes!$CL$65:$CL$148)</f>
        <v>0.1183025</v>
      </c>
      <c r="P57" s="321">
        <f>C57/LOOKUP($A57,Barèmes!$A$65:$A$148,Barèmes!$C$65:$C$148)</f>
        <v>0</v>
      </c>
      <c r="Q57" s="321">
        <f>H57/LOOKUP($A57,Barèmes!$A$65:$A$148,Barèmes!$C$65:$C$148)</f>
        <v>0</v>
      </c>
      <c r="R57" s="321">
        <f>I57/LOOKUP($A57,Barèmes!$A$65:$A$148,Barèmes!$C$65:$C$148)</f>
        <v>0</v>
      </c>
      <c r="T57" s="321">
        <f>C57/LOOKUP($A57,Barèmes!$A$65:$A$148,Barèmes!$G$65:$G$148)</f>
        <v>0</v>
      </c>
      <c r="U57" s="321">
        <f>H57/LOOKUP($A57,Barèmes!$A$65:$A$148,Barèmes!$G$65:$G$148)</f>
        <v>0</v>
      </c>
      <c r="V57" s="321">
        <f>I57/LOOKUP($A57,Barèmes!$A$65:$A$148,Barèmes!$G$65:$G$148)</f>
        <v>0</v>
      </c>
      <c r="Y57" s="367">
        <v>1</v>
      </c>
      <c r="Z57" s="280">
        <f>IF($Y57=1,IF(I57&lt;LOOKUP($A57,Barèmes!$AB$65:$AB$148,Barèmes!$BM$65:$BM$148),LOOKUP($A57,Barèmes!$AB$65:$AB$148,Barèmes!$BQ$65:$BQ$148),IF(I57&lt;LOOKUP($A57,Barèmes!$AB$65:$AB$148,Barèmes!$BN$65:$BN$148),LOOKUP($A57,Barèmes!$AB$65:$AB$148,Barèmes!$BR$65:$BR$148),IF(I57&lt;LOOKUP($A57,Barèmes!$AB$65:$AB$148,Barèmes!$BO$65:$BO$148),LOOKUP($A57,Barèmes!$AB$65:$AB$148,Barèmes!$BS$65:$BS$148),LOOKUP($A57,Barèmes!$AB$65:$AB$148,Barèmes!$BT$65:$BT$148)))),IF($Y57=2,IF(I57&lt;LOOKUP($A57,Barèmes!$AB$65:$AB$148,Barèmes!$BW$65:$BW$148),LOOKUP($A57,Barèmes!$AB$65:$AB$148,Barèmes!$CA$65:$CA$148),IF(I57&lt;LOOKUP($A57,Barèmes!$AB$65:$AB$148,Barèmes!$BX$65:$BX$148),LOOKUP($A57,Barèmes!$AB$65:$AB$148,Barèmes!$CB$65:$CB$148),IF(I57&lt;LOOKUP($A57,Barèmes!$AB$65:$AB$148,Barèmes!$BY$65:$BY$148),LOOKUP($A57,Barèmes!$AB$65:$AB$148,Barèmes!$CC$65:$CC198),LOOKUP($A57,Barèmes!$AB$65:$AB$148,Barèmes!$CD$65:$CD$148))))))</f>
        <v>0</v>
      </c>
    </row>
    <row r="58" spans="1:26" x14ac:dyDescent="0.25">
      <c r="A58" s="15">
        <f>B58+Simulation!$D$4</f>
        <v>2068</v>
      </c>
      <c r="B58" s="19">
        <v>68</v>
      </c>
      <c r="C58" s="77">
        <f>IF(AND($B58&gt;=Simulation!$D$5,$B58&lt;Simulation!$D$6),IF(Simulation!$D$3=1,LOOKUP($B58,Info_cas_type!$B$5:$B$55,Info_cas_type!$C$5:$C$55)*LOOKUP($A58,Barèmes!$A$65:$A$148,Barèmes!$D$65:$D$148),IF(Simulation!$D$3=2,LOOKUP($B58,Info_cas_type!$B$5:$B$55,Info_cas_type!$D$5:$D$55)*LOOKUP($A58,Barèmes!$A$65:$A$148,Barèmes!$D$65:$D$148),IF(Simulation!$D$3="2P",LOOKUP($B58,Info_cas_type!$B$5:$B$55,Info_cas_type!$E$5:$E$55)*LOOKUP($A58,Barèmes!$A$65:$A$148,Barèmes!$D$65:$D$148),IF(Simulation!$D$3="2M",LOOKUP($B58,Info_cas_type!$B$5:$B$55,Info_cas_type!$F$5:$F$55)*LOOKUP($A58,Barèmes!$A$65:$A$148,Barèmes!$D$65:$D$148),IF(Simulation!$D$3="SMIC",LOOKUP($A58,Barèmes!$A$65:$A$148,Barèmes!$F$65:$F$148),LOOKUP($B58,Info_cas_type!$B$5:$B$55,Info_cas_type!$G$5:$G$55)*LOOKUP($A58,Barèmes!$A$65:$A$148,Barèmes!$D$65:$D$148)))))),0)*LOOKUP($B58,Info_cas_type!$B$5:$B$55,Info_cas_type!$H$5:$H$55)</f>
        <v>0</v>
      </c>
      <c r="D58" s="56"/>
      <c r="E58" s="56"/>
      <c r="F58" s="56"/>
      <c r="H58" s="56"/>
      <c r="I58" s="56"/>
      <c r="Y58" s="367"/>
    </row>
    <row r="59" spans="1:26" x14ac:dyDescent="0.25">
      <c r="Y59" s="1" t="s">
        <v>280</v>
      </c>
      <c r="Z59" s="17">
        <f ca="1">LOOKUP(Simulation!$D$6-1,Salaires!$B$7:$B$58,Salaires!$Z$7:$Z$57)</f>
        <v>9.0999999999999998E-2</v>
      </c>
    </row>
    <row r="60" spans="1:26" x14ac:dyDescent="0.25">
      <c r="Y60" s="1" t="s">
        <v>281</v>
      </c>
      <c r="Z60" s="17">
        <f ca="1">LOOKUP(Simulation!$D$6-2,Salaires!$B$7:$B$58,Salaires!$Z$7:$Z$57)</f>
        <v>9.0999999999999998E-2</v>
      </c>
    </row>
    <row r="61" spans="1:26" x14ac:dyDescent="0.25">
      <c r="Y61" s="1" t="s">
        <v>282</v>
      </c>
      <c r="Z61" s="368">
        <f ca="1">IF(AND(AND($Z$59&lt;6%,$Z$59&gt;0),AND($Z$60&lt;6%,$Z$60&gt;0)),0.95,IF(OR($Z$59=0,AND(Simulation!$D$7="Femme",Simulation!$D$9="Ouvrier",Simulation!$D$10&gt;=3)),1,0.9))</f>
        <v>0.9</v>
      </c>
    </row>
  </sheetData>
  <mergeCells count="1">
    <mergeCell ref="A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D71"/>
  <sheetViews>
    <sheetView showGridLines="0" zoomScaleNormal="100" workbookViewId="0">
      <selection activeCell="M11" sqref="M11"/>
    </sheetView>
  </sheetViews>
  <sheetFormatPr baseColWidth="10" defaultRowHeight="15" x14ac:dyDescent="0.25"/>
  <cols>
    <col min="3" max="3" width="12.85546875" bestFit="1" customWidth="1"/>
    <col min="4" max="5" width="12.85546875" customWidth="1"/>
    <col min="6" max="6" width="11.85546875" bestFit="1" customWidth="1"/>
    <col min="18" max="18" width="12.85546875" customWidth="1"/>
    <col min="19" max="22" width="15.42578125" style="5" customWidth="1"/>
    <col min="24" max="24" width="14.28515625" style="5" bestFit="1" customWidth="1"/>
    <col min="25" max="25" width="18" bestFit="1" customWidth="1"/>
    <col min="29" max="29" width="11.5703125" bestFit="1" customWidth="1"/>
    <col min="30" max="30" width="12.42578125" bestFit="1" customWidth="1"/>
  </cols>
  <sheetData>
    <row r="1" spans="1:29" ht="18.75" x14ac:dyDescent="0.3">
      <c r="A1" s="8" t="s">
        <v>100</v>
      </c>
      <c r="B1" s="8"/>
      <c r="G1" s="2"/>
    </row>
    <row r="2" spans="1:29" ht="19.5" thickBot="1" x14ac:dyDescent="0.35">
      <c r="A2" s="8"/>
      <c r="B2" s="8"/>
      <c r="P2" s="45"/>
      <c r="Q2" s="655"/>
      <c r="R2" s="45"/>
      <c r="S2" s="176"/>
      <c r="AA2" s="45"/>
      <c r="AB2" s="45"/>
    </row>
    <row r="3" spans="1:29" ht="15.75" x14ac:dyDescent="0.25">
      <c r="C3" s="230" t="s">
        <v>71</v>
      </c>
      <c r="D3" s="231"/>
      <c r="E3" s="232"/>
      <c r="F3" s="232" t="s">
        <v>155</v>
      </c>
      <c r="G3" s="241">
        <f>SUM(AC17:AC67)+SUM($AB$17:$AB$67)</f>
        <v>172</v>
      </c>
      <c r="H3" s="231"/>
      <c r="I3" s="233" t="s">
        <v>74</v>
      </c>
      <c r="J3" s="244">
        <f>IF(Simulation!$D$29="Âge",LOOKUP($G$9,Décote_RC!$A$2:$A$22,Décote_RC!$B$2:$B$22),LOOKUP(MIN($G$8,$G$9),Décote_RC!$A$2:$A$22,Décote_RC!$B$2:$B$22))</f>
        <v>1</v>
      </c>
      <c r="K3" s="231"/>
      <c r="L3" s="233" t="s">
        <v>76</v>
      </c>
      <c r="M3" s="247">
        <f>IF(Simulation!$D$29="Âge",$G$9*0.0125,MIN($G$8,$G$9)*0.0125)</f>
        <v>0</v>
      </c>
      <c r="P3" s="45"/>
      <c r="Q3" s="45"/>
      <c r="R3" s="45"/>
      <c r="S3" s="176"/>
    </row>
    <row r="4" spans="1:29" x14ac:dyDescent="0.25">
      <c r="C4" s="234"/>
      <c r="D4" s="227"/>
      <c r="E4" s="228"/>
      <c r="F4" s="228" t="s">
        <v>360</v>
      </c>
      <c r="G4" s="657">
        <f>IF(AND(Simulation!$D$7="Femme",Simulation!$D$19="Oui"),Simulation!$D$10*8+IF(Simulation!$D$21="Oui",SUM($AA$17:$AA$68),0),0)</f>
        <v>0</v>
      </c>
      <c r="H4" s="227"/>
      <c r="I4" s="229" t="s">
        <v>77</v>
      </c>
      <c r="J4" s="245">
        <f>SUM(T17:T67)+SUM(V17:V67)</f>
        <v>5699.2972709025462</v>
      </c>
      <c r="K4" s="227"/>
      <c r="L4" s="229" t="s">
        <v>152</v>
      </c>
      <c r="M4" s="248">
        <f>MIN(G10,G11)*0.0125</f>
        <v>0</v>
      </c>
      <c r="P4" s="45"/>
      <c r="Q4" s="45"/>
      <c r="R4" s="45"/>
      <c r="S4" s="176"/>
    </row>
    <row r="5" spans="1:29" x14ac:dyDescent="0.25">
      <c r="C5" s="234"/>
      <c r="D5" s="227"/>
      <c r="E5" s="228"/>
      <c r="F5" s="228" t="s">
        <v>364</v>
      </c>
      <c r="G5" s="658">
        <f>IF(Simulation!$D$20="Non",0,IF(AND(Simulation!$D$14="Enfants",Simulation!$D$20="Oui",Simulation!$D$10=1,(Simulation!$D$13-Simulation!$D$12+1)*4&gt;8),(Simulation!$D$13-Simulation!$D$12+1)*4-8,IF(AND(Simulation!$D$14="Enfants",Simulation!$D$20="Oui",Simulation!$D$10=2,(Simulation!$D$13-Simulation!$D$12+1)*4&gt;16),(Simulation!$D$13-Simulation!$D$12+1)*4-16,IF(AND(Simulation!$D$14="Enfants",Simulation!$D$20="Oui",Simulation!$D$10=3,(Simulation!$D$13-Simulation!$D$12+1)*4&gt;24),(Simulation!$D$13-Simulation!$D$12+1)*4-24,0))))</f>
        <v>0</v>
      </c>
      <c r="H5" s="227"/>
      <c r="I5" s="229" t="s">
        <v>81</v>
      </c>
      <c r="J5" s="246">
        <f>IF(Simulation!$D$10=3,10%,0)</f>
        <v>0</v>
      </c>
      <c r="K5" s="227"/>
      <c r="L5" s="229" t="s">
        <v>80</v>
      </c>
      <c r="M5" s="248">
        <f>MIN(1,G6/G7)</f>
        <v>1</v>
      </c>
      <c r="P5" s="45"/>
      <c r="Q5" s="45"/>
      <c r="R5" s="656"/>
      <c r="S5" s="176"/>
    </row>
    <row r="6" spans="1:29" x14ac:dyDescent="0.25">
      <c r="C6" s="234"/>
      <c r="D6" s="227"/>
      <c r="E6" s="228"/>
      <c r="F6" s="228" t="s">
        <v>79</v>
      </c>
      <c r="G6" s="242">
        <f>G3+G4+G5</f>
        <v>172</v>
      </c>
      <c r="H6" s="227"/>
      <c r="I6" s="229" t="s">
        <v>274</v>
      </c>
      <c r="J6" s="246">
        <f ca="1">IF(AND($G$6&lt;=$G$7,$J$3=1),Salaires!$Z$61,IF(AND($G$6&gt;=$G$7+8,$G$6&lt;$G$7+12),1.1,IF(AND($G$6&gt;=$G$7+12,$G$6&lt;$G$7+16),1.2,IF($G$6&gt;=$G$7+16,1.3,1))))</f>
        <v>0.9</v>
      </c>
      <c r="K6" s="227"/>
      <c r="L6" s="229" t="s">
        <v>78</v>
      </c>
      <c r="M6" s="249">
        <f>IF(Simulation!$D$38="Totalité",AVERAGEIF($Y$17:$Y$67,"&lt;&gt;0",$Y$17:$Y$67),SUMIF($Z$17:$Z$67,"&lt;26",$Y$17:$Y$67)/MIN(COUNTIF($Z$17:$Z$67,"&lt;26"),MAX($Z$17:$Z$67)))</f>
        <v>108205.03427229311</v>
      </c>
      <c r="P6" s="45"/>
      <c r="Q6" s="45"/>
      <c r="R6" s="45"/>
      <c r="S6" s="176"/>
    </row>
    <row r="7" spans="1:29" x14ac:dyDescent="0.25">
      <c r="C7" s="234"/>
      <c r="D7" s="227"/>
      <c r="E7" s="228"/>
      <c r="F7" s="228" t="s">
        <v>72</v>
      </c>
      <c r="G7" s="242">
        <f>Simulation!D28*4</f>
        <v>172</v>
      </c>
      <c r="H7" s="227"/>
      <c r="I7" s="229"/>
      <c r="J7" s="246"/>
      <c r="K7" s="227"/>
      <c r="L7" s="229" t="s">
        <v>81</v>
      </c>
      <c r="M7" s="248">
        <f>IF(Simulation!$D$10=3,10%,0)</f>
        <v>0</v>
      </c>
      <c r="P7" s="45"/>
      <c r="Q7" s="45"/>
      <c r="R7" s="45"/>
      <c r="S7" s="176"/>
    </row>
    <row r="8" spans="1:29" x14ac:dyDescent="0.25">
      <c r="C8" s="234"/>
      <c r="D8" s="227"/>
      <c r="E8" s="228"/>
      <c r="F8" s="228" t="s">
        <v>73</v>
      </c>
      <c r="G8" s="242">
        <f>MAX(G7-G6,0)</f>
        <v>0</v>
      </c>
      <c r="H8" s="227"/>
      <c r="I8" s="250"/>
      <c r="J8" s="250"/>
      <c r="K8" s="227"/>
      <c r="L8" s="227"/>
      <c r="M8" s="654"/>
      <c r="P8" s="45"/>
      <c r="Q8" s="45"/>
      <c r="R8" s="45"/>
      <c r="S8" s="176"/>
    </row>
    <row r="9" spans="1:29" ht="15.75" x14ac:dyDescent="0.25">
      <c r="C9" s="234"/>
      <c r="D9" s="227"/>
      <c r="E9" s="228"/>
      <c r="F9" s="228" t="s">
        <v>75</v>
      </c>
      <c r="G9" s="242">
        <f>(-Simulation!$D$6+Simulation!$D$27)*4</f>
        <v>12</v>
      </c>
      <c r="H9" s="227"/>
      <c r="I9" s="250"/>
      <c r="J9" s="250"/>
      <c r="K9" s="252"/>
      <c r="L9" s="283" t="s">
        <v>181</v>
      </c>
      <c r="M9" s="249">
        <f>M6*(1-M3)*(1+M4)*Simulation!$D$39*M5*(1+M7)</f>
        <v>54102.517136146555</v>
      </c>
      <c r="P9" s="285"/>
      <c r="Q9" s="45"/>
      <c r="R9" s="45"/>
      <c r="S9" s="176"/>
    </row>
    <row r="10" spans="1:29" ht="15.75" x14ac:dyDescent="0.25">
      <c r="C10" s="234"/>
      <c r="D10" s="227"/>
      <c r="E10" s="228"/>
      <c r="F10" s="228" t="s">
        <v>153</v>
      </c>
      <c r="G10" s="242">
        <f>MAX(G6-G7,0)</f>
        <v>0</v>
      </c>
      <c r="H10" s="227"/>
      <c r="I10" s="251"/>
      <c r="J10" s="253"/>
      <c r="K10" s="252"/>
      <c r="L10" s="284" t="s">
        <v>268</v>
      </c>
      <c r="M10" s="249">
        <f>IF(M3=0,MAX(0,MIN(LOOKUP(TRI_prix!B4+TRI_prix!B5,Barèmes!$I$65:$I$148,Barèmes!$Z$65:$Z$148)-J11,M5*LOOKUP(TRI_prix!B4+TRI_prix!B5,Barèmes!$I$65:$I$148,Barèmes!$X$65:$X$148))),0)*(1+M4)+IF(G6&gt;=120,IF(M3=0,MAX(0,MIN(LOOKUP(TRI_prix!B4+TRI_prix!B5,Barèmes!$I$65:$I$148,Barèmes!$Z$65:$Z$148)-J11,M5*(LOOKUP(TRI_prix!B4+TRI_prix!B5,Barèmes!$I$65:$I$148,Barèmes!$Y$65:$Y$148)-LOOKUP(TRI_prix!B4+TRI_prix!B5,Barèmes!$I$65:$I$148,Barèmes!$X$65:$X$148))),0)*(1+M4),0))*(MIN($G$7,G6)-120)/($G$7-120)</f>
        <v>15491.94827700009</v>
      </c>
      <c r="P10" s="45"/>
      <c r="Q10" s="45"/>
      <c r="R10" s="45"/>
      <c r="S10" s="176"/>
    </row>
    <row r="11" spans="1:29" ht="16.5" thickBot="1" x14ac:dyDescent="0.3">
      <c r="C11" s="235"/>
      <c r="D11" s="236"/>
      <c r="E11" s="237"/>
      <c r="F11" s="237" t="s">
        <v>154</v>
      </c>
      <c r="G11" s="243">
        <f>MAX(0,(Simulation!$D$6-Simulation!$D$26)*4)</f>
        <v>8</v>
      </c>
      <c r="H11" s="236"/>
      <c r="I11" s="238" t="s">
        <v>150</v>
      </c>
      <c r="J11" s="239">
        <f>IF(OR(AND(Simulation!$D$5&lt;=19,$G$3&gt;=Simulation!$D$28*4),Simulation!$D$6&gt;=Simulation!$D$26),LOOKUP(2000+Simulation!$D$6,Barèmes!$AB$65:$AB$148,Barèmes!$BG$65:$BG$148)*J4*J3*(1+J5),0)</f>
        <v>15910.063273163702</v>
      </c>
      <c r="K11" s="254"/>
      <c r="L11" s="238" t="s">
        <v>151</v>
      </c>
      <c r="M11" s="240">
        <f>IF($J$11=0,0,MAX(M9,M10))</f>
        <v>54102.517136146555</v>
      </c>
    </row>
    <row r="12" spans="1:29" ht="18.75" x14ac:dyDescent="0.3">
      <c r="A12" s="8"/>
      <c r="B12" s="8"/>
      <c r="X12"/>
      <c r="Z12" s="297"/>
      <c r="AA12" s="176"/>
      <c r="AB12" s="176"/>
    </row>
    <row r="13" spans="1:29" s="8" customFormat="1" ht="25.5" customHeight="1" thickBot="1" x14ac:dyDescent="0.35">
      <c r="A13" s="760" t="s">
        <v>99</v>
      </c>
      <c r="B13" s="760"/>
      <c r="C13" s="760"/>
      <c r="D13" s="334"/>
      <c r="E13" s="334"/>
      <c r="F13" s="760" t="s">
        <v>33</v>
      </c>
      <c r="G13" s="760"/>
      <c r="H13" s="760"/>
      <c r="I13" s="760"/>
      <c r="J13" s="760"/>
      <c r="K13" s="760"/>
      <c r="L13" s="760"/>
      <c r="M13" s="760"/>
      <c r="N13" s="760"/>
      <c r="O13" s="760"/>
      <c r="P13" s="760"/>
      <c r="Q13" s="760"/>
      <c r="R13" s="334"/>
      <c r="S13" s="761" t="s">
        <v>16</v>
      </c>
      <c r="T13" s="761"/>
      <c r="U13" s="761"/>
      <c r="V13" s="761"/>
      <c r="X13" s="761" t="s">
        <v>15</v>
      </c>
      <c r="Y13" s="761"/>
      <c r="Z13" s="761"/>
      <c r="AA13" s="761"/>
      <c r="AB13" s="761"/>
      <c r="AC13" s="761"/>
    </row>
    <row r="14" spans="1:29" x14ac:dyDescent="0.25">
      <c r="D14" s="659"/>
    </row>
    <row r="15" spans="1:29" s="179" customFormat="1" ht="90" x14ac:dyDescent="0.25">
      <c r="A15" s="222" t="s">
        <v>10</v>
      </c>
      <c r="B15" s="223" t="s">
        <v>12</v>
      </c>
      <c r="C15" s="350" t="s">
        <v>267</v>
      </c>
      <c r="D15" s="193" t="s">
        <v>253</v>
      </c>
      <c r="E15" s="337"/>
      <c r="F15" s="769" t="s">
        <v>93</v>
      </c>
      <c r="G15" s="766" t="s">
        <v>0</v>
      </c>
      <c r="H15" s="767"/>
      <c r="I15" s="767"/>
      <c r="J15" s="768"/>
      <c r="K15" s="770" t="s">
        <v>1</v>
      </c>
      <c r="L15" s="771"/>
      <c r="M15" s="771"/>
      <c r="N15" s="771"/>
      <c r="O15" s="771"/>
      <c r="Q15" s="762" t="s">
        <v>95</v>
      </c>
      <c r="R15" s="336"/>
      <c r="S15" s="764" t="s">
        <v>0</v>
      </c>
      <c r="T15" s="764"/>
      <c r="U15" s="765" t="s">
        <v>1</v>
      </c>
      <c r="V15" s="764"/>
      <c r="X15" s="197" t="s">
        <v>68</v>
      </c>
      <c r="Y15" s="193" t="s">
        <v>69</v>
      </c>
      <c r="Z15" s="193" t="s">
        <v>70</v>
      </c>
      <c r="AA15" s="193" t="s">
        <v>157</v>
      </c>
      <c r="AB15" s="193" t="s">
        <v>284</v>
      </c>
      <c r="AC15" s="193" t="s">
        <v>156</v>
      </c>
    </row>
    <row r="16" spans="1:29" s="179" customFormat="1" ht="60" x14ac:dyDescent="0.25">
      <c r="A16" s="221"/>
      <c r="B16" s="180"/>
      <c r="C16" s="351"/>
      <c r="D16" s="336"/>
      <c r="E16" s="336"/>
      <c r="F16" s="763"/>
      <c r="G16" s="349" t="s">
        <v>91</v>
      </c>
      <c r="H16" s="221" t="s">
        <v>90</v>
      </c>
      <c r="I16" s="79" t="s">
        <v>16</v>
      </c>
      <c r="J16" s="79" t="s">
        <v>273</v>
      </c>
      <c r="K16" s="700" t="s">
        <v>219</v>
      </c>
      <c r="L16" s="330" t="s">
        <v>90</v>
      </c>
      <c r="M16" s="331" t="s">
        <v>220</v>
      </c>
      <c r="N16" s="701" t="s">
        <v>16</v>
      </c>
      <c r="O16" s="701" t="s">
        <v>273</v>
      </c>
      <c r="Q16" s="763"/>
      <c r="R16" s="336"/>
      <c r="S16" s="79" t="s">
        <v>66</v>
      </c>
      <c r="T16" s="79" t="s">
        <v>67</v>
      </c>
      <c r="U16" s="219" t="s">
        <v>66</v>
      </c>
      <c r="V16" s="79" t="s">
        <v>67</v>
      </c>
      <c r="X16" s="225"/>
      <c r="AB16" s="362"/>
    </row>
    <row r="17" spans="1:30" s="4" customFormat="1" x14ac:dyDescent="0.25">
      <c r="A17" s="15">
        <f>B17+Simulation!$D$4</f>
        <v>2017</v>
      </c>
      <c r="B17" s="273">
        <v>17</v>
      </c>
      <c r="C17" s="352">
        <f>Salaires!C7</f>
        <v>0</v>
      </c>
      <c r="D17" s="56">
        <f>IF(AND(Simulation!$D$10&gt;0,Simulation!$D$21="Oui",$B17&gt;=Simulation!$D$5,$B17&lt;Simulation!$D$6),IF($C17&gt;0,C17,LOOKUP($A17,Barèmes!$A$65:$A$148,Barèmes!$W$65:$W$148)),MIN($C17,LOOKUP($A17,Barèmes!$A$65:$A$148,Barèmes!$V$65:$V$148)))</f>
        <v>0</v>
      </c>
      <c r="E17" s="56"/>
      <c r="F17" s="63">
        <f>IF(Simulation!$D$44="Oui",IF(C17=0,0,MIN(1,MAX(0,(1.6*LOOKUP(A17,Barèmes!$A$65:$A$148,Barèmes!$F$65:$F$148)/C17-1)/0.6))),0)</f>
        <v>0</v>
      </c>
      <c r="G17" s="181">
        <f>Salaires!D7</f>
        <v>0</v>
      </c>
      <c r="H17" s="56">
        <f>G17*(LOOKUP($A17,Barèmes!$AB$65:$AB$148,Barèmes!$L$65:$L$148)*(1-$F17)+LOOKUP($A17,Barèmes!$AB$65:$AB$148,Barèmes!$M$65:$M$148))</f>
        <v>0</v>
      </c>
      <c r="I17" s="56">
        <f>G17*((IF($A17&gt;=2019,1-$F17,1))*(LOOKUP($A17,Barèmes!$A$65:$A$148,Barèmes!$AD$65:$AD$148)*LOOKUP($A17,Barèmes!$A$65:$A$148,Barèmes!$AI$65:$AI$148)+LOOKUP($A17,Barèmes!$A$65:$A$148,Barèmes!$AR$65:$AR$148)+IF(C17&gt;=LOOKUP($A17,Barèmes!$A$65:$A$148,Barèmes!$V$65:$V$148),LOOKUP($A17,Barèmes!$A$65:$A$148,Barèmes!$AM$65:$AM$148),0)))+G17*(LOOKUP($A17,Barèmes!$A$65:$A$148,Barèmes!$AE$65:$AE$148)*LOOKUP($A17,Barèmes!$A$65:$A$148,Barèmes!$AI$65:$AI$148)+LOOKUP($A17,Barèmes!$A$65:$A$148,Barèmes!$AS$65:$AS$148)+IF(C17&gt;=LOOKUP($A17,Barèmes!$A$65:$A$148,Barèmes!$V$65:$V$148),LOOKUP($A17,Barèmes!$A$65:$A$148,Barèmes!$AN$65:$AN$148),0))</f>
        <v>0</v>
      </c>
      <c r="J17" s="220">
        <f>IF(AND($B17&gt;=Simulation!$D$5,$B17&lt;Simulation!$D$6,$I17=0,Simulation!$D$14="Chômage",Simulation!$D$17="Oui"),IF(G16&gt;0,G16*0.03,J16),0)</f>
        <v>0</v>
      </c>
      <c r="K17" s="181">
        <f>Salaires!F7</f>
        <v>0</v>
      </c>
      <c r="L17" s="56">
        <f>K17*(LOOKUP($A17,Barèmes!$AB$65:$AB$148,Barèmes!$O$65:$O$148)*(1-$F17)+LOOKUP($A17,Barèmes!$AB$65:$AB$148,Barèmes!$P$65:$P$148))</f>
        <v>0</v>
      </c>
      <c r="M17" s="56">
        <f>Salaires!E7</f>
        <v>0</v>
      </c>
      <c r="N17" s="56">
        <f>M17*((IF($A17&gt;=2019,1-$F17,1))*(LOOKUP($A17,Barèmes!$A$65:$A$148,Barèmes!$AG$65:$AG$148)*LOOKUP($A17,Barèmes!$A$65:$A$148,Barèmes!$AI$65:$AI$148)+LOOKUP($A17,Barèmes!$A$65:$A$148,Barèmes!$AW$65:$AW$148)+IF($C17&gt;=LOOKUP($A17,Barèmes!$A$65:$A$148,Barèmes!$V$65:$V$148),LOOKUP($A17,Barèmes!$A$65:$A$148,Barèmes!$AM$65:$AM$148),0)))+M17*(LOOKUP($A17,Barèmes!$A$65:$A$148,Barèmes!$AH$65:$AH$148)*LOOKUP($A17,Barèmes!$A$65:$A$148,Barèmes!$AI$65:$AI$148)+LOOKUP($A17,Barèmes!$A$65:$A$148,Barèmes!$AX$65:$AX$148)+IF($C17&gt;=LOOKUP($A17,Barèmes!$A$65:$A$148,Barèmes!$V$65:$V$148),LOOKUP($A17,Barèmes!$A$65:$A$148,Barèmes!$AN$65:$AN$148),0))</f>
        <v>0</v>
      </c>
      <c r="O17" s="56">
        <f>IF(AND($B17&gt;=Simulation!$D$5,$B17&lt;Simulation!$D$6,$N17=0,Simulation!$D$14="Chômage",Simulation!$D$17="Oui"),IF(M16&gt;0,M16*0.03,O16),0)</f>
        <v>0</v>
      </c>
      <c r="Q17" s="91">
        <f>H17+I17+L17+N17+J17+O17</f>
        <v>0</v>
      </c>
      <c r="R17" s="56"/>
      <c r="S17" s="56">
        <f>G17*LOOKUP($A17,Barèmes!$A$65:$A$148,Barèmes!$AC$65:$AC$148)</f>
        <v>0</v>
      </c>
      <c r="T17" s="56">
        <f>IF(AND($D17=0,Simulation!$D$14="Chômage",Simulation!$D$17="Oui",$B17&gt;=Simulation!$D$5,$B17&lt;Simulation!$D$6),IF($T16&lt;&gt;0,$T16,0),S17/LOOKUP($A17,Barèmes!$AB$65:$AB$148,Barèmes!$BA$65:$BA$148))</f>
        <v>0</v>
      </c>
      <c r="U17" s="181">
        <f>K17*LOOKUP($A17,Barèmes!$A$65:$A$148,Barèmes!$AF$65:$AF$148)</f>
        <v>0</v>
      </c>
      <c r="V17" s="56">
        <f>IF(AND($D17=0,Simulation!$D$14="Chômage",Simulation!$D$17="Oui",$B17&gt;=Simulation!$D$5,$B17&lt;Simulation!$D$6),IF($V16&lt;&gt;0,$V16,0),U17/LOOKUP($A17,Barèmes!$AB$65:$AB$148,Barèmes!$BA$65:$BA$148))</f>
        <v>0</v>
      </c>
      <c r="X17" s="80">
        <f>IF($B17=Simulation!$D$6,1,X18*(1+LOOKUP($A17,Barèmes!$A$65:$A$148,Barèmes!$T$65:$T$148)))</f>
        <v>2.127069692514322</v>
      </c>
      <c r="Y17" s="358">
        <f>ROUND($D17,0)*$X17</f>
        <v>0</v>
      </c>
      <c r="Z17" s="43" t="str">
        <f>IF(Y17&gt;0,RANK(Y17,$Y$17:$Y$67),"")</f>
        <v/>
      </c>
      <c r="AA17" s="56">
        <f>IF(AND($B17&gt;=Simulation!$D$5,$B17&lt;Simulation!$D$6),IF(AND(Simulation!$D$14="Enfants",Simulation!$D$10&gt;0,Simulation!$D$21="Oui",Info_cas_type!$H5=0),4,0),0)</f>
        <v>0</v>
      </c>
      <c r="AB17" s="56">
        <f>IF(AND(Simulation!$D$14="Chômage",Simulation!$D$18="Oui",$B17&gt;=Simulation!$D$5,$B17&lt;Simulation!$D$6,$C17=0),4,0)</f>
        <v>0</v>
      </c>
      <c r="AC17" s="81">
        <f>MIN(4,MIN($C17,LOOKUP($A17,Barèmes!$A$65:$A$148,Barèmes!$V$65:$V$148))/LOOKUP($A17,Barèmes!$A$65:$A$148,Barèmes!$S$65:$S$148))</f>
        <v>0</v>
      </c>
      <c r="AD17" s="93"/>
    </row>
    <row r="18" spans="1:30" s="4" customFormat="1" x14ac:dyDescent="0.25">
      <c r="A18" s="15">
        <f>B18+Simulation!$D$4</f>
        <v>2018</v>
      </c>
      <c r="B18" s="273">
        <v>18</v>
      </c>
      <c r="C18" s="352">
        <f>Salaires!C8</f>
        <v>0</v>
      </c>
      <c r="D18" s="56">
        <f>IF(AND(Simulation!$D$10&gt;0,Simulation!$D$21="Oui",$B18&gt;=Simulation!$D$5,$B18&lt;Simulation!$D$6),IF($C18&gt;0,C18,LOOKUP($A18,Barèmes!$A$65:$A$148,Barèmes!$W$65:$W$148)),MIN($C18,LOOKUP($A18,Barèmes!$A$65:$A$148,Barèmes!$V$65:$V$148)))</f>
        <v>0</v>
      </c>
      <c r="E18" s="56"/>
      <c r="F18" s="63">
        <f>IF(Simulation!$D$44="Oui",IF(C18=0,0,MIN(1,MAX(0,(1.6*LOOKUP(A18,Barèmes!$A$65:$A$148,Barèmes!$F$65:$F$148)/C18-1)/0.6))),0)</f>
        <v>0</v>
      </c>
      <c r="G18" s="181">
        <f>Salaires!D8</f>
        <v>0</v>
      </c>
      <c r="H18" s="56">
        <f>G18*(LOOKUP($A18,Barèmes!$AB$65:$AB$148,Barèmes!$L$65:$L$148)*(1-F18)+LOOKUP($A18,Barèmes!$AB$65:$AB$148,Barèmes!$M$65:$M$148))</f>
        <v>0</v>
      </c>
      <c r="I18" s="56">
        <f>G18*((IF($A18&gt;=2019,1-$F18,1))*(LOOKUP($A18,Barèmes!$A$65:$A$148,Barèmes!$AD$65:$AD$148)*LOOKUP($A18,Barèmes!$A$65:$A$148,Barèmes!$AI$65:$AI$148)+LOOKUP($A18,Barèmes!$A$65:$A$148,Barèmes!$AR$65:$AR$148)+IF(C18&gt;=LOOKUP($A18,Barèmes!$A$65:$A$148,Barèmes!$V$65:$V$148),LOOKUP($A18,Barèmes!$A$65:$A$148,Barèmes!$AM$65:$AM$148),0)))+G18*(LOOKUP($A18,Barèmes!$A$65:$A$148,Barèmes!$AE$65:$AE$148)*LOOKUP($A18,Barèmes!$A$65:$A$148,Barèmes!$AI$65:$AI$148)+LOOKUP($A18,Barèmes!$A$65:$A$148,Barèmes!$AS$65:$AS$148)+IF(C18&gt;=LOOKUP($A18,Barèmes!$A$65:$A$148,Barèmes!$V$65:$V$148),LOOKUP($A18,Barèmes!$A$65:$A$148,Barèmes!$AN$65:$AN$148),0))</f>
        <v>0</v>
      </c>
      <c r="J18" s="220">
        <f>IF(AND($B18&gt;=Simulation!$D$5,$B18&lt;Simulation!$D$6,$I18=0,Simulation!$D$14="Chômage",Simulation!$D$17="Oui"),IF(G17&gt;0,G17*0.03,J17),0)</f>
        <v>0</v>
      </c>
      <c r="K18" s="181">
        <f>Salaires!F8</f>
        <v>0</v>
      </c>
      <c r="L18" s="56">
        <f>K18*(LOOKUP($A18,Barèmes!$AB$65:$AB$148,Barèmes!$O$65:$O$148)*(1-$F18)+LOOKUP($A18,Barèmes!$AB$65:$AB$148,Barèmes!$P$65:$P$148))</f>
        <v>0</v>
      </c>
      <c r="M18" s="56">
        <f>Salaires!E8</f>
        <v>0</v>
      </c>
      <c r="N18" s="56">
        <f>M18*((IF($A18&gt;=2019,1-$F18,1))*(LOOKUP($A18,Barèmes!$A$65:$A$148,Barèmes!$AG$65:$AG$148)*LOOKUP($A18,Barèmes!$A$65:$A$148,Barèmes!$AI$65:$AI$148)+LOOKUP($A18,Barèmes!$A$65:$A$148,Barèmes!$AW$65:$AW$148)+IF($C18&gt;=LOOKUP($A18,Barèmes!$A$65:$A$148,Barèmes!$V$65:$V$148),LOOKUP($A18,Barèmes!$A$65:$A$148,Barèmes!$AM$65:$AM$148),0)))+M18*(LOOKUP($A18,Barèmes!$A$65:$A$148,Barèmes!$AH$65:$AH$148)*LOOKUP($A18,Barèmes!$A$65:$A$148,Barèmes!$AI$65:$AI$148)+LOOKUP($A18,Barèmes!$A$65:$A$148,Barèmes!$AX$65:$AX$148)+IF($C18&gt;=LOOKUP($A18,Barèmes!$A$65:$A$148,Barèmes!$V$65:$V$148),LOOKUP($A18,Barèmes!$A$65:$A$148,Barèmes!$AN$65:$AN$148),0))</f>
        <v>0</v>
      </c>
      <c r="O18" s="56">
        <f>IF(AND($B18&gt;=Simulation!$D$5,$B18&lt;Simulation!$D$6,$N18=0,Simulation!$D$14="Chômage",Simulation!$D$17="Oui"),IF(M17&gt;0,M17*0.03,O17),0)</f>
        <v>0</v>
      </c>
      <c r="Q18" s="91">
        <f t="shared" ref="Q18:Q67" si="0">H18+I18+L18+N18+J18+O18</f>
        <v>0</v>
      </c>
      <c r="R18" s="56"/>
      <c r="S18" s="56">
        <f>G18*LOOKUP($A18,Barèmes!$A$65:$A$148,Barèmes!$AC$65:$AC$148)</f>
        <v>0</v>
      </c>
      <c r="T18" s="56">
        <f>IF(AND($D18=0,Simulation!$D$14="Chômage",Simulation!$D$17="Oui",$B18&gt;=Simulation!$D$5,$B18&lt;Simulation!$D$6),IF($T17&lt;&gt;0,$T17,0),S18/LOOKUP($A18,Barèmes!$AB$65:$AB$148,Barèmes!$BA$65:$BA$148))</f>
        <v>0</v>
      </c>
      <c r="U18" s="181">
        <f>K18*LOOKUP($A18,Barèmes!$A$65:$A$148,Barèmes!$AF$65:$AF$148)</f>
        <v>0</v>
      </c>
      <c r="V18" s="56">
        <f>IF(AND($D18=0,Simulation!$D$14="Chômage",Simulation!$D$17="Oui",$B18&gt;=Simulation!$D$5,$B18&lt;Simulation!$D$6),IF($V17&lt;&gt;0,$V17,0),U18/LOOKUP($A18,Barèmes!$AB$65:$AB$148,Barèmes!$BA$65:$BA$148))</f>
        <v>0</v>
      </c>
      <c r="X18" s="80">
        <f>IF($B18=Simulation!$D$6,1,X19*(1+LOOKUP($A18,Barèmes!$A$65:$A$148,Barèmes!$T$65:$T$148)))</f>
        <v>2.1106602831217329</v>
      </c>
      <c r="Y18" s="358">
        <f t="shared" ref="Y18:Y67" si="1">ROUND($D18,0)*$X18</f>
        <v>0</v>
      </c>
      <c r="Z18" s="43" t="str">
        <f t="shared" ref="Z18:Z67" si="2">IF(Y18&gt;0,RANK(Y18,$Y$17:$Y$67),"")</f>
        <v/>
      </c>
      <c r="AA18" s="56">
        <f>IF(AND($B18&gt;=Simulation!$D$5,$B18&lt;Simulation!$D$6),IF(AND(Simulation!$D$14="Enfants",Simulation!$D$10&gt;0,Simulation!$D$21="Oui",Info_cas_type!$H6=0),4,0),0)</f>
        <v>0</v>
      </c>
      <c r="AB18" s="56">
        <f>IF(AND(Simulation!$D$14="Chômage",Simulation!$D$18="Oui",$B18&gt;=Simulation!$D$5,$B18&lt;Simulation!$D$6,$C18=0),4,0)</f>
        <v>0</v>
      </c>
      <c r="AC18" s="81">
        <f>MIN(4,MIN($C18,LOOKUP($A18,Barèmes!$A$65:$A$148,Barèmes!$V$65:$V$148))/LOOKUP($A18,Barèmes!$A$65:$A$148,Barèmes!$S$65:$S$148))</f>
        <v>0</v>
      </c>
      <c r="AD18" s="93"/>
    </row>
    <row r="19" spans="1:30" s="4" customFormat="1" x14ac:dyDescent="0.25">
      <c r="A19" s="15">
        <f>B19+Simulation!$D$4</f>
        <v>2019</v>
      </c>
      <c r="B19" s="273">
        <v>19</v>
      </c>
      <c r="C19" s="352">
        <f>Salaires!C9</f>
        <v>0</v>
      </c>
      <c r="D19" s="56">
        <f>IF(AND(Simulation!$D$10&gt;0,Simulation!$D$21="Oui",$B19&gt;=Simulation!$D$5,$B19&lt;Simulation!$D$6),IF($C19&gt;0,C19,LOOKUP($A19,Barèmes!$A$65:$A$148,Barèmes!$W$65:$W$148)),MIN($C19,LOOKUP($A19,Barèmes!$A$65:$A$148,Barèmes!$V$65:$V$148)))</f>
        <v>0</v>
      </c>
      <c r="E19" s="56"/>
      <c r="F19" s="63">
        <f>IF(Simulation!$D$44="Oui",IF(C19=0,0,MIN(1,MAX(0,(1.6*LOOKUP(A19,Barèmes!$A$65:$A$148,Barèmes!$F$65:$F$148)/C19-1)/0.6))),0)</f>
        <v>0</v>
      </c>
      <c r="G19" s="181">
        <f>Salaires!D9</f>
        <v>0</v>
      </c>
      <c r="H19" s="56">
        <f>G19*(LOOKUP($A19,Barèmes!$AB$65:$AB$148,Barèmes!$L$65:$L$148)*(1-F19)+LOOKUP($A19,Barèmes!$AB$65:$AB$148,Barèmes!$M$65:$M$148))</f>
        <v>0</v>
      </c>
      <c r="I19" s="56">
        <f>G19*((IF($A19&gt;=2019,1-$F19,1))*(LOOKUP($A19,Barèmes!$A$65:$A$148,Barèmes!$AD$65:$AD$148)*LOOKUP($A19,Barèmes!$A$65:$A$148,Barèmes!$AI$65:$AI$148)+LOOKUP($A19,Barèmes!$A$65:$A$148,Barèmes!$AR$65:$AR$148)+IF(C19&gt;=LOOKUP($A19,Barèmes!$A$65:$A$148,Barèmes!$V$65:$V$148),LOOKUP($A19,Barèmes!$A$65:$A$148,Barèmes!$AM$65:$AM$148),0)))+G19*(LOOKUP($A19,Barèmes!$A$65:$A$148,Barèmes!$AE$65:$AE$148)*LOOKUP($A19,Barèmes!$A$65:$A$148,Barèmes!$AI$65:$AI$148)+LOOKUP($A19,Barèmes!$A$65:$A$148,Barèmes!$AS$65:$AS$148)+IF(C19&gt;=LOOKUP($A19,Barèmes!$A$65:$A$148,Barèmes!$V$65:$V$148),LOOKUP($A19,Barèmes!$A$65:$A$148,Barèmes!$AN$65:$AN$148),0))</f>
        <v>0</v>
      </c>
      <c r="J19" s="220">
        <f>IF(AND($B19&gt;=Simulation!$D$5,$B19&lt;Simulation!$D$6,$I19=0,Simulation!$D$14="Chômage",Simulation!$D$17="Oui"),IF(G18&gt;0,G18*0.03,J18),0)</f>
        <v>0</v>
      </c>
      <c r="K19" s="181">
        <f>Salaires!F9</f>
        <v>0</v>
      </c>
      <c r="L19" s="56">
        <f>K19*(LOOKUP($A19,Barèmes!$AB$65:$AB$148,Barèmes!$O$65:$O$148)*(1-$F19)+LOOKUP($A19,Barèmes!$AB$65:$AB$148,Barèmes!$P$65:$P$148))</f>
        <v>0</v>
      </c>
      <c r="M19" s="56">
        <f>Salaires!E9</f>
        <v>0</v>
      </c>
      <c r="N19" s="56">
        <f>M19*((IF($A19&gt;=2019,1-$F19,1))*(LOOKUP($A19,Barèmes!$A$65:$A$148,Barèmes!$AG$65:$AG$148)*LOOKUP($A19,Barèmes!$A$65:$A$148,Barèmes!$AI$65:$AI$148)+LOOKUP($A19,Barèmes!$A$65:$A$148,Barèmes!$AW$65:$AW$148)+IF($C19&gt;=LOOKUP($A19,Barèmes!$A$65:$A$148,Barèmes!$V$65:$V$148),LOOKUP($A19,Barèmes!$A$65:$A$148,Barèmes!$AM$65:$AM$148),0)))+M19*(LOOKUP($A19,Barèmes!$A$65:$A$148,Barèmes!$AH$65:$AH$148)*LOOKUP($A19,Barèmes!$A$65:$A$148,Barèmes!$AI$65:$AI$148)+LOOKUP($A19,Barèmes!$A$65:$A$148,Barèmes!$AX$65:$AX$148)+IF($C19&gt;=LOOKUP($A19,Barèmes!$A$65:$A$148,Barèmes!$V$65:$V$148),LOOKUP($A19,Barèmes!$A$65:$A$148,Barèmes!$AN$65:$AN$148),0))</f>
        <v>0</v>
      </c>
      <c r="O19" s="56">
        <f>IF(AND($B19&gt;=Simulation!$D$5,$B19&lt;Simulation!$D$6,$N19=0,Simulation!$D$14="Chômage",Simulation!$D$17="Oui"),IF(M18&gt;0,M18*0.03,O18),0)</f>
        <v>0</v>
      </c>
      <c r="Q19" s="91">
        <f t="shared" si="0"/>
        <v>0</v>
      </c>
      <c r="R19" s="56"/>
      <c r="S19" s="56">
        <f>G19*LOOKUP($A19,Barèmes!$A$65:$A$148,Barèmes!$AC$65:$AC$148)</f>
        <v>0</v>
      </c>
      <c r="T19" s="56">
        <f>IF(AND($D19=0,Simulation!$D$14="Chômage",Simulation!$D$17="Oui",$B19&gt;=Simulation!$D$5,$B19&lt;Simulation!$D$6),IF($T18&lt;&gt;0,$T18,0),S19/LOOKUP($A19,Barèmes!$AB$65:$AB$148,Barèmes!$BA$65:$BA$148))</f>
        <v>0</v>
      </c>
      <c r="U19" s="181">
        <f>K19*LOOKUP($A19,Barèmes!$A$65:$A$148,Barèmes!$AF$65:$AF$148)</f>
        <v>0</v>
      </c>
      <c r="V19" s="56">
        <f>IF(AND($D19=0,Simulation!$D$14="Chômage",Simulation!$D$17="Oui",$B19&gt;=Simulation!$D$5,$B19&lt;Simulation!$D$6),IF($V18&lt;&gt;0,$V18,0),U19/LOOKUP($A19,Barèmes!$AB$65:$AB$148,Barèmes!$BA$65:$BA$148))</f>
        <v>0</v>
      </c>
      <c r="X19" s="80">
        <f>IF($B19=Simulation!$D$6,1,X20*(1+LOOKUP($A19,Barèmes!$A$65:$A$148,Barèmes!$T$65:$T$148)))</f>
        <v>2.0798926405106291</v>
      </c>
      <c r="Y19" s="358">
        <f t="shared" si="1"/>
        <v>0</v>
      </c>
      <c r="Z19" s="43" t="str">
        <f t="shared" si="2"/>
        <v/>
      </c>
      <c r="AA19" s="56">
        <f>IF(AND($B19&gt;=Simulation!$D$5,$B19&lt;Simulation!$D$6),IF(AND(Simulation!$D$14="Enfants",Simulation!$D$10&gt;0,Simulation!$D$21="Oui",Info_cas_type!$H7=0),4,0),0)</f>
        <v>0</v>
      </c>
      <c r="AB19" s="56">
        <f>IF(AND(Simulation!$D$14="Chômage",Simulation!$D$18="Oui",$B19&gt;=Simulation!$D$5,$B19&lt;Simulation!$D$6,$C19=0),4,0)</f>
        <v>0</v>
      </c>
      <c r="AC19" s="81">
        <f>MIN(4,MIN($C19,LOOKUP($A19,Barèmes!$A$65:$A$148,Barèmes!$V$65:$V$148))/LOOKUP($A19,Barèmes!$A$65:$A$148,Barèmes!$S$65:$S$148))</f>
        <v>0</v>
      </c>
      <c r="AD19" s="93"/>
    </row>
    <row r="20" spans="1:30" x14ac:dyDescent="0.25">
      <c r="A20" s="15">
        <f>B20+Simulation!$D$4</f>
        <v>2020</v>
      </c>
      <c r="B20" s="273">
        <v>20</v>
      </c>
      <c r="C20" s="352">
        <f>Salaires!C10</f>
        <v>0</v>
      </c>
      <c r="D20" s="56">
        <f>IF(AND(Simulation!$D$10&gt;0,Simulation!$D$21="Oui",$B20&gt;=Simulation!$D$5,$B20&lt;Simulation!$D$6),IF($C20&gt;0,C20,LOOKUP($A20,Barèmes!$A$65:$A$148,Barèmes!$W$65:$W$148)),MIN($C20,LOOKUP($A20,Barèmes!$A$65:$A$148,Barèmes!$V$65:$V$148)))</f>
        <v>0</v>
      </c>
      <c r="E20" s="56"/>
      <c r="F20" s="63">
        <f>IF(Simulation!$D$44="Oui",IF(C20=0,0,MIN(1,MAX(0,(1.6*LOOKUP(A20,Barèmes!$A$65:$A$148,Barèmes!$F$65:$F$148)/C20-1)/0.6))),0)</f>
        <v>0</v>
      </c>
      <c r="G20" s="181">
        <f>Salaires!D10</f>
        <v>0</v>
      </c>
      <c r="H20" s="56">
        <f>G20*(LOOKUP($A20,Barèmes!$AB$65:$AB$148,Barèmes!$L$65:$L$148)*(1-F20)+LOOKUP($A20,Barèmes!$AB$65:$AB$148,Barèmes!$M$65:$M$148))</f>
        <v>0</v>
      </c>
      <c r="I20" s="56">
        <f>G20*((IF($A20&gt;=2019,1-$F20,1))*(LOOKUP($A20,Barèmes!$A$65:$A$148,Barèmes!$AD$65:$AD$148)*LOOKUP($A20,Barèmes!$A$65:$A$148,Barèmes!$AI$65:$AI$148)+LOOKUP($A20,Barèmes!$A$65:$A$148,Barèmes!$AR$65:$AR$148)+IF(C20&gt;=LOOKUP($A20,Barèmes!$A$65:$A$148,Barèmes!$V$65:$V$148),LOOKUP($A20,Barèmes!$A$65:$A$148,Barèmes!$AM$65:$AM$148),0)))+G20*(LOOKUP($A20,Barèmes!$A$65:$A$148,Barèmes!$AE$65:$AE$148)*LOOKUP($A20,Barèmes!$A$65:$A$148,Barèmes!$AI$65:$AI$148)+LOOKUP($A20,Barèmes!$A$65:$A$148,Barèmes!$AS$65:$AS$148)+IF(C20&gt;=LOOKUP($A20,Barèmes!$A$65:$A$148,Barèmes!$V$65:$V$148),LOOKUP($A20,Barèmes!$A$65:$A$148,Barèmes!$AN$65:$AN$148),0))</f>
        <v>0</v>
      </c>
      <c r="J20" s="220">
        <f>IF(AND($B20&gt;=Simulation!$D$5,$B20&lt;Simulation!$D$6,$I20=0,Simulation!$D$14="Chômage",Simulation!$D$17="Oui"),IF(G19&gt;0,G19*0.03,J19),0)</f>
        <v>0</v>
      </c>
      <c r="K20" s="181">
        <f>Salaires!F10</f>
        <v>0</v>
      </c>
      <c r="L20" s="56">
        <f>K20*(LOOKUP($A20,Barèmes!$AB$65:$AB$148,Barèmes!$O$65:$O$148)*(1-$F20)+LOOKUP($A20,Barèmes!$AB$65:$AB$148,Barèmes!$P$65:$P$148))</f>
        <v>0</v>
      </c>
      <c r="M20" s="56">
        <f>Salaires!E10</f>
        <v>0</v>
      </c>
      <c r="N20" s="56">
        <f>M20*((IF($A20&gt;=2019,1-$F20,1))*(LOOKUP($A20,Barèmes!$A$65:$A$148,Barèmes!$AG$65:$AG$148)*LOOKUP($A20,Barèmes!$A$65:$A$148,Barèmes!$AI$65:$AI$148)+LOOKUP($A20,Barèmes!$A$65:$A$148,Barèmes!$AW$65:$AW$148)+IF($C20&gt;=LOOKUP($A20,Barèmes!$A$65:$A$148,Barèmes!$V$65:$V$148),LOOKUP($A20,Barèmes!$A$65:$A$148,Barèmes!$AM$65:$AM$148),0)))+M20*(LOOKUP($A20,Barèmes!$A$65:$A$148,Barèmes!$AH$65:$AH$148)*LOOKUP($A20,Barèmes!$A$65:$A$148,Barèmes!$AI$65:$AI$148)+LOOKUP($A20,Barèmes!$A$65:$A$148,Barèmes!$AX$65:$AX$148)+IF($C20&gt;=LOOKUP($A20,Barèmes!$A$65:$A$148,Barèmes!$V$65:$V$148),LOOKUP($A20,Barèmes!$A$65:$A$148,Barèmes!$AN$65:$AN$148),0))</f>
        <v>0</v>
      </c>
      <c r="O20" s="56">
        <f>IF(AND($B20&gt;=Simulation!$D$5,$B20&lt;Simulation!$D$6,$N20=0,Simulation!$D$14="Chômage",Simulation!$D$17="Oui"),IF(M19&gt;0,M19*0.03,O19),0)</f>
        <v>0</v>
      </c>
      <c r="Q20" s="91">
        <f t="shared" si="0"/>
        <v>0</v>
      </c>
      <c r="R20" s="56"/>
      <c r="S20" s="56">
        <f>G20*LOOKUP($A20,Barèmes!$A$65:$A$148,Barèmes!$AC$65:$AC$148)</f>
        <v>0</v>
      </c>
      <c r="T20" s="56">
        <f>IF(AND($D20=0,Simulation!$D$14="Chômage",Simulation!$D$17="Oui",$B20&gt;=Simulation!$D$5,$B20&lt;Simulation!$D$6),IF($T19&lt;&gt;0,$T19,0),S20/LOOKUP($A20,Barèmes!$AB$65:$AB$148,Barèmes!$BA$65:$BA$148))</f>
        <v>0</v>
      </c>
      <c r="U20" s="181">
        <f>K20*LOOKUP($A20,Barèmes!$A$65:$A$148,Barèmes!$AF$65:$AF$148)</f>
        <v>0</v>
      </c>
      <c r="V20" s="56">
        <f>IF(AND($D20=0,Simulation!$D$14="Chômage",Simulation!$D$17="Oui",$B20&gt;=Simulation!$D$5,$B20&lt;Simulation!$D$6),IF($V19&lt;&gt;0,$V19,0),U20/LOOKUP($A20,Barèmes!$AB$65:$AB$148,Barèmes!$BA$65:$BA$148))</f>
        <v>0</v>
      </c>
      <c r="X20" s="80">
        <f>IF($B20=Simulation!$D$6,1,X21*(1+LOOKUP($A20,Barèmes!$A$65:$A$148,Barèmes!$T$65:$T$148)))</f>
        <v>2.0592996440699296</v>
      </c>
      <c r="Y20" s="358">
        <f t="shared" si="1"/>
        <v>0</v>
      </c>
      <c r="Z20" s="43" t="str">
        <f t="shared" si="2"/>
        <v/>
      </c>
      <c r="AA20" s="56">
        <f>IF(AND($B20&gt;=Simulation!$D$5,$B20&lt;Simulation!$D$6),IF(AND(Simulation!$D$14="Enfants",Simulation!$D$10&gt;0,Simulation!$D$21="Oui",Info_cas_type!$H8=0),4,0),0)</f>
        <v>0</v>
      </c>
      <c r="AB20" s="56">
        <f>IF(AND(Simulation!$D$14="Chômage",Simulation!$D$18="Oui",$B20&gt;=Simulation!$D$5,$B20&lt;Simulation!$D$6,$C20=0),4,0)</f>
        <v>0</v>
      </c>
      <c r="AC20" s="81">
        <f>MIN(4,MIN($C20,LOOKUP($A20,Barèmes!$A$65:$A$148,Barèmes!$V$65:$V$148))/LOOKUP($A20,Barèmes!$A$65:$A$148,Barèmes!$S$65:$S$148))</f>
        <v>0</v>
      </c>
      <c r="AD20" s="93"/>
    </row>
    <row r="21" spans="1:30" x14ac:dyDescent="0.25">
      <c r="A21" s="15">
        <f>B21+Simulation!$D$4</f>
        <v>2021</v>
      </c>
      <c r="B21" s="273">
        <v>21</v>
      </c>
      <c r="C21" s="352">
        <f>Salaires!C11</f>
        <v>14528.510636454192</v>
      </c>
      <c r="D21" s="56">
        <f>IF(AND(Simulation!$D$10&gt;0,Simulation!$D$21="Oui",$B21&gt;=Simulation!$D$5,$B21&lt;Simulation!$D$6),IF($C21&gt;0,C21,LOOKUP($A21,Barèmes!$A$65:$A$148,Barèmes!$W$65:$W$148)),MIN($C21,LOOKUP($A21,Barèmes!$A$65:$A$148,Barèmes!$V$65:$V$148)))</f>
        <v>14528.510636454192</v>
      </c>
      <c r="E21" s="56"/>
      <c r="F21" s="63">
        <f>IF(Simulation!$D$44="Oui",IF(C21=0,0,MIN(1,MAX(0,(1.6*LOOKUP(A21,Barèmes!$A$65:$A$148,Barèmes!$F$65:$F$148)/C21-1)/0.6))),0)</f>
        <v>1</v>
      </c>
      <c r="G21" s="181">
        <f>Salaires!D11</f>
        <v>14528.510636454192</v>
      </c>
      <c r="H21" s="56">
        <f>G21*(LOOKUP($A21,Barèmes!$AB$65:$AB$148,Barèmes!$L$65:$L$148)*(1-F21)+LOOKUP($A21,Barèmes!$AB$65:$AB$148,Barèmes!$M$65:$M$148))</f>
        <v>1060.581276461156</v>
      </c>
      <c r="I21" s="56">
        <f>G21*((IF($A21&gt;=2019,1-$F21,1))*(LOOKUP($A21,Barèmes!$A$65:$A$148,Barèmes!$AD$65:$AD$148)*LOOKUP($A21,Barèmes!$A$65:$A$148,Barèmes!$AI$65:$AI$148)+LOOKUP($A21,Barèmes!$A$65:$A$148,Barèmes!$AR$65:$AR$148)+IF(C21&gt;=LOOKUP($A21,Barèmes!$A$65:$A$148,Barèmes!$V$65:$V$148),LOOKUP($A21,Barèmes!$A$65:$A$148,Barèmes!$AM$65:$AM$148),0)))+G21*(LOOKUP($A21,Barèmes!$A$65:$A$148,Barèmes!$AE$65:$AE$148)*LOOKUP($A21,Barèmes!$A$65:$A$148,Barèmes!$AI$65:$AI$148)+LOOKUP($A21,Barèmes!$A$65:$A$148,Barèmes!$AS$65:$AS$148)+IF(C21&gt;=LOOKUP($A21,Barèmes!$A$65:$A$148,Barèmes!$V$65:$V$148),LOOKUP($A21,Barèmes!$A$65:$A$148,Barèmes!$AN$65:$AN$148),0))</f>
        <v>582.53516247926711</v>
      </c>
      <c r="J21" s="220">
        <f>IF(AND($B21&gt;=Simulation!$D$5,$B21&lt;Simulation!$D$6,$I21=0,Simulation!$D$14="Chômage",Simulation!$D$17="Oui"),IF(G20&gt;0,G20*0.03,J20),0)</f>
        <v>0</v>
      </c>
      <c r="K21" s="181">
        <f>Salaires!F11</f>
        <v>0</v>
      </c>
      <c r="L21" s="56">
        <f>K21*(LOOKUP($A21,Barèmes!$AB$65:$AB$148,Barèmes!$O$65:$O$148)*(1-$F21)+LOOKUP($A21,Barèmes!$AB$65:$AB$148,Barèmes!$P$65:$P$148))</f>
        <v>0</v>
      </c>
      <c r="M21" s="56">
        <f>Salaires!E11</f>
        <v>0</v>
      </c>
      <c r="N21" s="56">
        <f>M21*((IF($A21&gt;=2019,1-$F21,1))*(LOOKUP($A21,Barèmes!$A$65:$A$148,Barèmes!$AG$65:$AG$148)*LOOKUP($A21,Barèmes!$A$65:$A$148,Barèmes!$AI$65:$AI$148)+LOOKUP($A21,Barèmes!$A$65:$A$148,Barèmes!$AW$65:$AW$148)+IF($C21&gt;=LOOKUP($A21,Barèmes!$A$65:$A$148,Barèmes!$V$65:$V$148),LOOKUP($A21,Barèmes!$A$65:$A$148,Barèmes!$AM$65:$AM$148),0)))+M21*(LOOKUP($A21,Barèmes!$A$65:$A$148,Barèmes!$AH$65:$AH$148)*LOOKUP($A21,Barèmes!$A$65:$A$148,Barèmes!$AI$65:$AI$148)+LOOKUP($A21,Barèmes!$A$65:$A$148,Barèmes!$AX$65:$AX$148)+IF($C21&gt;=LOOKUP($A21,Barèmes!$A$65:$A$148,Barèmes!$V$65:$V$148),LOOKUP($A21,Barèmes!$A$65:$A$148,Barèmes!$AN$65:$AN$148),0))</f>
        <v>0</v>
      </c>
      <c r="O21" s="56">
        <f>IF(AND($B21&gt;=Simulation!$D$5,$B21&lt;Simulation!$D$6,$N21=0,Simulation!$D$14="Chômage",Simulation!$D$17="Oui"),IF(M20&gt;0,M20*0.03,O20),0)</f>
        <v>0</v>
      </c>
      <c r="Q21" s="91">
        <f t="shared" si="0"/>
        <v>1643.116438940423</v>
      </c>
      <c r="R21" s="56"/>
      <c r="S21" s="56">
        <f>G21*LOOKUP($A21,Barèmes!$A$65:$A$148,Barèmes!$AC$65:$AC$148)</f>
        <v>900.76765946015985</v>
      </c>
      <c r="T21" s="56">
        <f>IF(AND($D21=0,Simulation!$D$14="Chômage",Simulation!$D$17="Oui",$B21&gt;=Simulation!$D$5,$B21&lt;Simulation!$D$6),IF($T20&lt;&gt;0,$T20,0),S21/LOOKUP($A21,Barèmes!$AB$65:$AB$148,Barèmes!$BA$65:$BA$148))</f>
        <v>51.773612181729135</v>
      </c>
      <c r="U21" s="181">
        <f>K21*LOOKUP($A21,Barèmes!$A$65:$A$148,Barèmes!$AF$65:$AF$148)</f>
        <v>0</v>
      </c>
      <c r="V21" s="56">
        <f>IF(AND($D21=0,Simulation!$D$14="Chômage",Simulation!$D$17="Oui",$B21&gt;=Simulation!$D$5,$B21&lt;Simulation!$D$6),IF($V20&lt;&gt;0,$V20,0),U21/LOOKUP($A21,Barèmes!$AB$65:$AB$148,Barèmes!$BA$65:$BA$148))</f>
        <v>0</v>
      </c>
      <c r="X21" s="80">
        <f>IF($B21=Simulation!$D$6,1,X22*(1+LOOKUP($A21,Barèmes!$A$65:$A$148,Barèmes!$T$65:$T$148)))</f>
        <v>2.0511327958788761</v>
      </c>
      <c r="Y21" s="358">
        <f t="shared" si="1"/>
        <v>29800.908391324192</v>
      </c>
      <c r="Z21" s="43">
        <f t="shared" si="2"/>
        <v>43</v>
      </c>
      <c r="AA21" s="56">
        <f>IF(AND($B21&gt;=Simulation!$D$5,$B21&lt;Simulation!$D$6),IF(AND(Simulation!$D$14="Enfants",Simulation!$D$10&gt;0,Simulation!$D$21="Oui",Info_cas_type!$H9=0),4,0),0)</f>
        <v>0</v>
      </c>
      <c r="AB21" s="56">
        <f>IF(AND(Simulation!$D$14="Chômage",Simulation!$D$18="Oui",$B21&gt;=Simulation!$D$5,$B21&lt;Simulation!$D$6,$C21=0),4,0)</f>
        <v>0</v>
      </c>
      <c r="AC21" s="81">
        <f>MIN(4,MIN($C21,LOOKUP($A21,Barèmes!$A$65:$A$148,Barèmes!$V$65:$V$148))/LOOKUP($A21,Barèmes!$A$65:$A$148,Barèmes!$S$65:$S$148))</f>
        <v>4</v>
      </c>
      <c r="AD21" s="93"/>
    </row>
    <row r="22" spans="1:30" x14ac:dyDescent="0.25">
      <c r="A22" s="15">
        <f>B22+Simulation!$D$4</f>
        <v>2022</v>
      </c>
      <c r="B22" s="273">
        <v>22</v>
      </c>
      <c r="C22" s="352">
        <f>Salaires!C12</f>
        <v>17369.595885554852</v>
      </c>
      <c r="D22" s="56">
        <f>IF(AND(Simulation!$D$10&gt;0,Simulation!$D$21="Oui",$B22&gt;=Simulation!$D$5,$B22&lt;Simulation!$D$6),IF($C22&gt;0,C22,LOOKUP($A22,Barèmes!$A$65:$A$148,Barèmes!$W$65:$W$148)),MIN($C22,LOOKUP($A22,Barèmes!$A$65:$A$148,Barèmes!$V$65:$V$148)))</f>
        <v>17369.595885554852</v>
      </c>
      <c r="E22" s="56"/>
      <c r="F22" s="63">
        <f>IF(Simulation!$D$44="Oui",IF(C22=0,0,MIN(1,MAX(0,(1.6*LOOKUP(A22,Barèmes!$A$65:$A$148,Barèmes!$F$65:$F$148)/C22-1)/0.6))),0)</f>
        <v>1</v>
      </c>
      <c r="G22" s="181">
        <f>Salaires!D12</f>
        <v>17369.595885554852</v>
      </c>
      <c r="H22" s="56">
        <f>G22*(LOOKUP($A22,Barèmes!$AB$65:$AB$148,Barèmes!$L$65:$L$148)*(1-F22)+LOOKUP($A22,Barèmes!$AB$65:$AB$148,Barèmes!$M$65:$M$148))</f>
        <v>1267.9804996455039</v>
      </c>
      <c r="I22" s="56">
        <f>G22*((IF($A22&gt;=2019,1-$F22,1))*(LOOKUP($A22,Barèmes!$A$65:$A$148,Barèmes!$AD$65:$AD$148)*LOOKUP($A22,Barèmes!$A$65:$A$148,Barèmes!$AI$65:$AI$148)+LOOKUP($A22,Barèmes!$A$65:$A$148,Barèmes!$AR$65:$AR$148)+IF(C22&gt;=LOOKUP($A22,Barèmes!$A$65:$A$148,Barèmes!$V$65:$V$148),LOOKUP($A22,Barèmes!$A$65:$A$148,Barèmes!$AM$65:$AM$148),0)))+G22*(LOOKUP($A22,Barèmes!$A$65:$A$148,Barèmes!$AE$65:$AE$148)*LOOKUP($A22,Barèmes!$A$65:$A$148,Barèmes!$AI$65:$AI$148)+LOOKUP($A22,Barèmes!$A$65:$A$148,Barèmes!$AS$65:$AS$148)+IF(C22&gt;=LOOKUP($A22,Barèmes!$A$65:$A$148,Barèmes!$V$65:$V$148),LOOKUP($A22,Barèmes!$A$65:$A$148,Barèmes!$AN$65:$AN$148),0))</f>
        <v>696.45131662720723</v>
      </c>
      <c r="J22" s="220">
        <f>IF(AND($B22&gt;=Simulation!$D$5,$B22&lt;Simulation!$D$6,$I22=0,Simulation!$D$14="Chômage",Simulation!$D$17="Oui"),IF(G21&gt;0,G21*0.03,J21),0)</f>
        <v>0</v>
      </c>
      <c r="K22" s="181">
        <f>Salaires!F12</f>
        <v>0</v>
      </c>
      <c r="L22" s="56">
        <f>K22*(LOOKUP($A22,Barèmes!$AB$65:$AB$148,Barèmes!$O$65:$O$148)*(1-$F22)+LOOKUP($A22,Barèmes!$AB$65:$AB$148,Barèmes!$P$65:$P$148))</f>
        <v>0</v>
      </c>
      <c r="M22" s="56">
        <f>Salaires!E12</f>
        <v>0</v>
      </c>
      <c r="N22" s="56">
        <f>M22*((IF($A22&gt;=2019,1-$F22,1))*(LOOKUP($A22,Barèmes!$A$65:$A$148,Barèmes!$AG$65:$AG$148)*LOOKUP($A22,Barèmes!$A$65:$A$148,Barèmes!$AI$65:$AI$148)+LOOKUP($A22,Barèmes!$A$65:$A$148,Barèmes!$AW$65:$AW$148)+IF($C22&gt;=LOOKUP($A22,Barèmes!$A$65:$A$148,Barèmes!$V$65:$V$148),LOOKUP($A22,Barèmes!$A$65:$A$148,Barèmes!$AM$65:$AM$148),0)))+M22*(LOOKUP($A22,Barèmes!$A$65:$A$148,Barèmes!$AH$65:$AH$148)*LOOKUP($A22,Barèmes!$A$65:$A$148,Barèmes!$AI$65:$AI$148)+LOOKUP($A22,Barèmes!$A$65:$A$148,Barèmes!$AX$65:$AX$148)+IF($C22&gt;=LOOKUP($A22,Barèmes!$A$65:$A$148,Barèmes!$V$65:$V$148),LOOKUP($A22,Barèmes!$A$65:$A$148,Barèmes!$AN$65:$AN$148),0))</f>
        <v>0</v>
      </c>
      <c r="O22" s="56">
        <f>IF(AND($B22&gt;=Simulation!$D$5,$B22&lt;Simulation!$D$6,$N22=0,Simulation!$D$14="Chômage",Simulation!$D$17="Oui"),IF(M21&gt;0,M21*0.03,O21),0)</f>
        <v>0</v>
      </c>
      <c r="Q22" s="91">
        <f t="shared" si="0"/>
        <v>1964.4318162727111</v>
      </c>
      <c r="R22" s="56"/>
      <c r="S22" s="56">
        <f>G22*LOOKUP($A22,Barèmes!$A$65:$A$148,Barèmes!$AC$65:$AC$148)</f>
        <v>1076.914944904401</v>
      </c>
      <c r="T22" s="56">
        <f>IF(AND($D22=0,Simulation!$D$14="Chômage",Simulation!$D$17="Oui",$B22&gt;=Simulation!$D$5,$B22&lt;Simulation!$D$6),IF($T21&lt;&gt;0,$T21,0),S22/LOOKUP($A22,Barèmes!$AB$65:$AB$148,Barèmes!$BA$65:$BA$148))</f>
        <v>61.738382000114711</v>
      </c>
      <c r="U22" s="181">
        <f>K22*LOOKUP($A22,Barèmes!$A$65:$A$148,Barèmes!$AF$65:$AF$148)</f>
        <v>0</v>
      </c>
      <c r="V22" s="56">
        <f>IF(AND($D22=0,Simulation!$D$14="Chômage",Simulation!$D$17="Oui",$B22&gt;=Simulation!$D$5,$B22&lt;Simulation!$D$6),IF($V21&lt;&gt;0,$V21,0),U22/LOOKUP($A22,Barèmes!$AB$65:$AB$148,Barèmes!$BA$65:$BA$148))</f>
        <v>0</v>
      </c>
      <c r="X22" s="80">
        <f>IF($B22=Simulation!$D$6,1,X23*(1+LOOKUP($A22,Barèmes!$A$65:$A$148,Barèmes!$T$65:$T$148)))</f>
        <v>2.0359218015679952</v>
      </c>
      <c r="Y22" s="358">
        <f t="shared" si="1"/>
        <v>35363.961693236073</v>
      </c>
      <c r="Z22" s="43">
        <f t="shared" si="2"/>
        <v>42</v>
      </c>
      <c r="AA22" s="56">
        <f>IF(AND($B22&gt;=Simulation!$D$5,$B22&lt;Simulation!$D$6),IF(AND(Simulation!$D$14="Enfants",Simulation!$D$10&gt;0,Simulation!$D$21="Oui",Info_cas_type!$H10=0),4,0),0)</f>
        <v>0</v>
      </c>
      <c r="AB22" s="56">
        <f>IF(AND(Simulation!$D$14="Chômage",Simulation!$D$18="Oui",$B22&gt;=Simulation!$D$5,$B22&lt;Simulation!$D$6,$C22=0),4,0)</f>
        <v>0</v>
      </c>
      <c r="AC22" s="81">
        <f>MIN(4,MIN($C22,LOOKUP($A22,Barèmes!$A$65:$A$148,Barèmes!$V$65:$V$148))/LOOKUP($A22,Barèmes!$A$65:$A$148,Barèmes!$S$65:$S$148))</f>
        <v>4</v>
      </c>
      <c r="AD22" s="93"/>
    </row>
    <row r="23" spans="1:30" x14ac:dyDescent="0.25">
      <c r="A23" s="15">
        <f>B23+Simulation!$D$4</f>
        <v>2023</v>
      </c>
      <c r="B23" s="273">
        <v>23</v>
      </c>
      <c r="C23" s="352">
        <f>Salaires!C13</f>
        <v>22242.436471431116</v>
      </c>
      <c r="D23" s="56">
        <f>IF(AND(Simulation!$D$10&gt;0,Simulation!$D$21="Oui",$B23&gt;=Simulation!$D$5,$B23&lt;Simulation!$D$6),IF($C23&gt;0,C23,LOOKUP($A23,Barèmes!$A$65:$A$148,Barèmes!$W$65:$W$148)),MIN($C23,LOOKUP($A23,Barèmes!$A$65:$A$148,Barèmes!$V$65:$V$148)))</f>
        <v>22242.436471431116</v>
      </c>
      <c r="E23" s="62"/>
      <c r="F23" s="63">
        <f>IF(Simulation!$D$44="Oui",IF(C23=0,0,MIN(1,MAX(0,(1.6*LOOKUP(A23,Barèmes!$A$65:$A$148,Barèmes!$F$65:$F$148)/C23-1)/0.6))),0)</f>
        <v>0.62884482616229698</v>
      </c>
      <c r="G23" s="181">
        <f>Salaires!D13</f>
        <v>22242.436471431116</v>
      </c>
      <c r="H23" s="56">
        <f>G23*(LOOKUP($A23,Barèmes!$AB$65:$AB$148,Barèmes!$L$65:$L$148)*(1-F23)+LOOKUP($A23,Barèmes!$AB$65:$AB$148,Barèmes!$M$65:$M$148))</f>
        <v>2486.3866791153555</v>
      </c>
      <c r="I23" s="56">
        <f>G23*((IF($A23&gt;=2019,1-$F23,1))*(LOOKUP($A23,Barèmes!$A$65:$A$148,Barèmes!$AD$65:$AD$148)*LOOKUP($A23,Barèmes!$A$65:$A$148,Barèmes!$AI$65:$AI$148)+LOOKUP($A23,Barèmes!$A$65:$A$148,Barèmes!$AR$65:$AR$148)+IF(C23&gt;=LOOKUP($A23,Barèmes!$A$65:$A$148,Barèmes!$V$65:$V$148),LOOKUP($A23,Barèmes!$A$65:$A$148,Barèmes!$AM$65:$AM$148),0)))+G23*(LOOKUP($A23,Barèmes!$A$65:$A$148,Barèmes!$AE$65:$AE$148)*LOOKUP($A23,Barèmes!$A$65:$A$148,Barèmes!$AI$65:$AI$148)+LOOKUP($A23,Barèmes!$A$65:$A$148,Barèmes!$AS$65:$AS$148)+IF(C23&gt;=LOOKUP($A23,Barèmes!$A$65:$A$148,Barèmes!$V$65:$V$148),LOOKUP($A23,Barèmes!$A$65:$A$148,Barèmes!$AN$65:$AN$148),0))</f>
        <v>1388.3452322002054</v>
      </c>
      <c r="J23" s="220">
        <f>IF(AND($B23&gt;=Simulation!$D$5,$B23&lt;Simulation!$D$6,$I23=0,Simulation!$D$14="Chômage",Simulation!$D$17="Oui"),IF(G22&gt;0,G22*0.03,J22),0)</f>
        <v>0</v>
      </c>
      <c r="K23" s="181">
        <f>Salaires!F13</f>
        <v>0</v>
      </c>
      <c r="L23" s="56">
        <f>K23*(LOOKUP($A23,Barèmes!$AB$65:$AB$148,Barèmes!$O$65:$O$148)*(1-$F23)+LOOKUP($A23,Barèmes!$AB$65:$AB$148,Barèmes!$P$65:$P$148))</f>
        <v>0</v>
      </c>
      <c r="M23" s="56">
        <f>Salaires!E13</f>
        <v>0</v>
      </c>
      <c r="N23" s="56">
        <f>M23*((IF($A23&gt;=2019,1-$F23,1))*(LOOKUP($A23,Barèmes!$A$65:$A$148,Barèmes!$AG$65:$AG$148)*LOOKUP($A23,Barèmes!$A$65:$A$148,Barèmes!$AI$65:$AI$148)+LOOKUP($A23,Barèmes!$A$65:$A$148,Barèmes!$AW$65:$AW$148)+IF($C23&gt;=LOOKUP($A23,Barèmes!$A$65:$A$148,Barèmes!$V$65:$V$148),LOOKUP($A23,Barèmes!$A$65:$A$148,Barèmes!$AM$65:$AM$148),0)))+M23*(LOOKUP($A23,Barèmes!$A$65:$A$148,Barèmes!$AH$65:$AH$148)*LOOKUP($A23,Barèmes!$A$65:$A$148,Barèmes!$AI$65:$AI$148)+LOOKUP($A23,Barèmes!$A$65:$A$148,Barèmes!$AX$65:$AX$148)+IF($C23&gt;=LOOKUP($A23,Barèmes!$A$65:$A$148,Barèmes!$V$65:$V$148),LOOKUP($A23,Barèmes!$A$65:$A$148,Barèmes!$AN$65:$AN$148),0))</f>
        <v>0</v>
      </c>
      <c r="O23" s="56">
        <f>IF(AND($B23&gt;=Simulation!$D$5,$B23&lt;Simulation!$D$6,$N23=0,Simulation!$D$14="Chômage",Simulation!$D$17="Oui"),IF(M22&gt;0,M22*0.03,O22),0)</f>
        <v>0</v>
      </c>
      <c r="Q23" s="91">
        <f t="shared" si="0"/>
        <v>3874.7319113155609</v>
      </c>
      <c r="R23" s="56"/>
      <c r="S23" s="56">
        <f>G23*LOOKUP($A23,Barèmes!$A$65:$A$148,Barèmes!$AC$65:$AC$148)</f>
        <v>1379.0310612287292</v>
      </c>
      <c r="T23" s="56">
        <f>IF(AND($D23=0,Simulation!$D$14="Chômage",Simulation!$D$17="Oui",$B23&gt;=Simulation!$D$5,$B23&lt;Simulation!$D$6),IF($T22&lt;&gt;0,$T22,0),S23/LOOKUP($A23,Barèmes!$AB$65:$AB$148,Barèmes!$BA$65:$BA$148))</f>
        <v>76.178618608858912</v>
      </c>
      <c r="U23" s="181">
        <f>K23*LOOKUP($A23,Barèmes!$A$65:$A$148,Barèmes!$AF$65:$AF$148)</f>
        <v>0</v>
      </c>
      <c r="V23" s="56">
        <f>IF(AND($D23=0,Simulation!$D$14="Chômage",Simulation!$D$17="Oui",$B23&gt;=Simulation!$D$5,$B23&lt;Simulation!$D$6),IF($V22&lt;&gt;0,$V22,0),U23/LOOKUP($A23,Barèmes!$AB$65:$AB$148,Barèmes!$BA$65:$BA$148))</f>
        <v>0</v>
      </c>
      <c r="X23" s="80">
        <f>IF($B23=Simulation!$D$6,1,X24*(1+LOOKUP($A23,Barèmes!$A$65:$A$148,Barèmes!$T$65:$T$148)))</f>
        <v>2.018256545437489</v>
      </c>
      <c r="Y23" s="358">
        <f t="shared" si="1"/>
        <v>44890.062083620629</v>
      </c>
      <c r="Z23" s="43">
        <f t="shared" si="2"/>
        <v>41</v>
      </c>
      <c r="AA23" s="56">
        <f>IF(AND($B23&gt;=Simulation!$D$5,$B23&lt;Simulation!$D$6),IF(AND(Simulation!$D$14="Enfants",Simulation!$D$10&gt;0,Simulation!$D$21="Oui",Info_cas_type!$H11=0),4,0),0)</f>
        <v>0</v>
      </c>
      <c r="AB23" s="56">
        <f>IF(AND(Simulation!$D$14="Chômage",Simulation!$D$18="Oui",$B23&gt;=Simulation!$D$5,$B23&lt;Simulation!$D$6,$C23=0),4,0)</f>
        <v>0</v>
      </c>
      <c r="AC23" s="81">
        <f>MIN(4,MIN($C23,LOOKUP($A23,Barèmes!$A$65:$A$148,Barèmes!$V$65:$V$148))/LOOKUP($A23,Barèmes!$A$65:$A$148,Barèmes!$S$65:$S$148))</f>
        <v>4</v>
      </c>
      <c r="AD23" s="94"/>
    </row>
    <row r="24" spans="1:30" x14ac:dyDescent="0.25">
      <c r="A24" s="15">
        <f>B24+Simulation!$D$4</f>
        <v>2024</v>
      </c>
      <c r="B24" s="273">
        <v>24</v>
      </c>
      <c r="C24" s="352">
        <f>Salaires!C14</f>
        <v>24404.300516831827</v>
      </c>
      <c r="D24" s="56">
        <f>IF(AND(Simulation!$D$10&gt;0,Simulation!$D$21="Oui",$B24&gt;=Simulation!$D$5,$B24&lt;Simulation!$D$6),IF($C24&gt;0,C24,LOOKUP($A24,Barèmes!$A$65:$A$148,Barèmes!$W$65:$W$148)),MIN($C24,LOOKUP($A24,Barèmes!$A$65:$A$148,Barèmes!$V$65:$V$148)))</f>
        <v>24404.300516831827</v>
      </c>
      <c r="E24" s="56"/>
      <c r="F24" s="63">
        <f>IF(Simulation!$D$44="Oui",IF(C24=0,0,MIN(1,MAX(0,(1.6*LOOKUP(A24,Barèmes!$A$65:$A$148,Barèmes!$F$65:$F$148)/C24-1)/0.6))),0)</f>
        <v>0.45687852739351131</v>
      </c>
      <c r="G24" s="181">
        <f>Salaires!D14</f>
        <v>24404.300516831827</v>
      </c>
      <c r="H24" s="56">
        <f>G24*(LOOKUP($A24,Barèmes!$AB$65:$AB$148,Barèmes!$L$65:$L$148)*(1-F24)+LOOKUP($A24,Barèmes!$AB$65:$AB$148,Barèmes!$M$65:$M$148))</f>
        <v>3166.6091495478709</v>
      </c>
      <c r="I24" s="56">
        <f>G24*((IF($A24&gt;=2019,1-$F24,1))*(LOOKUP($A24,Barèmes!$A$65:$A$148,Barèmes!$AD$65:$AD$148)*LOOKUP($A24,Barèmes!$A$65:$A$148,Barèmes!$AI$65:$AI$148)+LOOKUP($A24,Barèmes!$A$65:$A$148,Barèmes!$AR$65:$AR$148)+IF(C24&gt;=LOOKUP($A24,Barèmes!$A$65:$A$148,Barèmes!$V$65:$V$148),LOOKUP($A24,Barèmes!$A$65:$A$148,Barèmes!$AM$65:$AM$148),0)))+G24*(LOOKUP($A24,Barèmes!$A$65:$A$148,Barèmes!$AE$65:$AE$148)*LOOKUP($A24,Barèmes!$A$65:$A$148,Barèmes!$AI$65:$AI$148)+LOOKUP($A24,Barèmes!$A$65:$A$148,Barèmes!$AS$65:$AS$148)+IF(C24&gt;=LOOKUP($A24,Barèmes!$A$65:$A$148,Barèmes!$V$65:$V$148),LOOKUP($A24,Barèmes!$A$65:$A$148,Barèmes!$AN$65:$AN$148),0))</f>
        <v>1775.6934595482558</v>
      </c>
      <c r="J24" s="220">
        <f>IF(AND($B24&gt;=Simulation!$D$5,$B24&lt;Simulation!$D$6,$I24=0,Simulation!$D$14="Chômage",Simulation!$D$17="Oui"),IF(G23&gt;0,G23*0.03,J23),0)</f>
        <v>0</v>
      </c>
      <c r="K24" s="181">
        <f>Salaires!F14</f>
        <v>0</v>
      </c>
      <c r="L24" s="56">
        <f>K24*(LOOKUP($A24,Barèmes!$AB$65:$AB$148,Barèmes!$O$65:$O$148)*(1-$F24)+LOOKUP($A24,Barèmes!$AB$65:$AB$148,Barèmes!$P$65:$P$148))</f>
        <v>0</v>
      </c>
      <c r="M24" s="56">
        <f>Salaires!E14</f>
        <v>0</v>
      </c>
      <c r="N24" s="56">
        <f>M24*((IF($A24&gt;=2019,1-$F24,1))*(LOOKUP($A24,Barèmes!$A$65:$A$148,Barèmes!$AG$65:$AG$148)*LOOKUP($A24,Barèmes!$A$65:$A$148,Barèmes!$AI$65:$AI$148)+LOOKUP($A24,Barèmes!$A$65:$A$148,Barèmes!$AW$65:$AW$148)+IF($C24&gt;=LOOKUP($A24,Barèmes!$A$65:$A$148,Barèmes!$V$65:$V$148),LOOKUP($A24,Barèmes!$A$65:$A$148,Barèmes!$AM$65:$AM$148),0)))+M24*(LOOKUP($A24,Barèmes!$A$65:$A$148,Barèmes!$AH$65:$AH$148)*LOOKUP($A24,Barèmes!$A$65:$A$148,Barèmes!$AI$65:$AI$148)+LOOKUP($A24,Barèmes!$A$65:$A$148,Barèmes!$AX$65:$AX$148)+IF($C24&gt;=LOOKUP($A24,Barèmes!$A$65:$A$148,Barèmes!$V$65:$V$148),LOOKUP($A24,Barèmes!$A$65:$A$148,Barèmes!$AN$65:$AN$148),0))</f>
        <v>0</v>
      </c>
      <c r="O24" s="56">
        <f>IF(AND($B24&gt;=Simulation!$D$5,$B24&lt;Simulation!$D$6,$N24=0,Simulation!$D$14="Chômage",Simulation!$D$17="Oui"),IF(M23&gt;0,M23*0.03,O23),0)</f>
        <v>0</v>
      </c>
      <c r="Q24" s="91">
        <f t="shared" si="0"/>
        <v>4942.3026090961266</v>
      </c>
      <c r="R24" s="56"/>
      <c r="S24" s="56">
        <f>G24*LOOKUP($A24,Barèmes!$A$65:$A$148,Barèmes!$AC$65:$AC$148)</f>
        <v>1513.0666320435732</v>
      </c>
      <c r="T24" s="56">
        <f>IF(AND($D24=0,Simulation!$D$14="Chômage",Simulation!$D$17="Oui",$B24&gt;=Simulation!$D$5,$B24&lt;Simulation!$D$6),IF($T23&lt;&gt;0,$T23,0),S24/LOOKUP($A24,Barèmes!$AB$65:$AB$148,Barèmes!$BA$65:$BA$148))</f>
        <v>80.764082759179544</v>
      </c>
      <c r="U24" s="181">
        <f>K24*LOOKUP($A24,Barèmes!$A$65:$A$148,Barèmes!$AF$65:$AF$148)</f>
        <v>0</v>
      </c>
      <c r="V24" s="56">
        <f>IF(AND($D24=0,Simulation!$D$14="Chômage",Simulation!$D$17="Oui",$B24&gt;=Simulation!$D$5,$B24&lt;Simulation!$D$6),IF($V23&lt;&gt;0,$V23,0),U24/LOOKUP($A24,Barèmes!$AB$65:$AB$148,Barèmes!$BA$65:$BA$148))</f>
        <v>0</v>
      </c>
      <c r="X24" s="80">
        <f>IF($B24=Simulation!$D$6,1,X25*(1+LOOKUP($A24,Barèmes!$A$65:$A$148,Barèmes!$T$65:$T$148)))</f>
        <v>1.9956958276778696</v>
      </c>
      <c r="Y24" s="358">
        <f t="shared" si="1"/>
        <v>48702.960978650728</v>
      </c>
      <c r="Z24" s="43">
        <f t="shared" si="2"/>
        <v>40</v>
      </c>
      <c r="AA24" s="56">
        <f>IF(AND($B24&gt;=Simulation!$D$5,$B24&lt;Simulation!$D$6),IF(AND(Simulation!$D$14="Enfants",Simulation!$D$10&gt;0,Simulation!$D$21="Oui",Info_cas_type!$H12=0),4,0),0)</f>
        <v>0</v>
      </c>
      <c r="AB24" s="56">
        <f>IF(AND(Simulation!$D$14="Chômage",Simulation!$D$18="Oui",$B24&gt;=Simulation!$D$5,$B24&lt;Simulation!$D$6,$C24=0),4,0)</f>
        <v>0</v>
      </c>
      <c r="AC24" s="81">
        <f>MIN(4,MIN($C24,LOOKUP($A24,Barèmes!$A$65:$A$148,Barèmes!$V$65:$V$148))/LOOKUP($A24,Barèmes!$A$65:$A$148,Barèmes!$S$65:$S$148))</f>
        <v>4</v>
      </c>
      <c r="AD24" s="94"/>
    </row>
    <row r="25" spans="1:30" x14ac:dyDescent="0.25">
      <c r="A25" s="15">
        <f>B25+Simulation!$D$4</f>
        <v>2025</v>
      </c>
      <c r="B25" s="273">
        <v>25</v>
      </c>
      <c r="C25" s="352">
        <f>Salaires!C15</f>
        <v>26311.728838909617</v>
      </c>
      <c r="D25" s="56">
        <f>IF(AND(Simulation!$D$10&gt;0,Simulation!$D$21="Oui",$B25&gt;=Simulation!$D$5,$B25&lt;Simulation!$D$6),IF($C25&gt;0,C25,LOOKUP($A25,Barèmes!$A$65:$A$148,Barèmes!$W$65:$W$148)),MIN($C25,LOOKUP($A25,Barèmes!$A$65:$A$148,Barèmes!$V$65:$V$148)))</f>
        <v>26311.728838909617</v>
      </c>
      <c r="E25" s="56"/>
      <c r="F25" s="63">
        <f>IF(Simulation!$D$44="Oui",IF(C25=0,0,MIN(1,MAX(0,(1.6*LOOKUP(A25,Barèmes!$A$65:$A$148,Barèmes!$F$65:$F$148)/C25-1)/0.6))),0)</f>
        <v>0.34035782293233824</v>
      </c>
      <c r="G25" s="181">
        <f>Salaires!D15</f>
        <v>26311.728838909617</v>
      </c>
      <c r="H25" s="56">
        <f>G25*(LOOKUP($A25,Barèmes!$AB$65:$AB$148,Barèmes!$L$65:$L$148)*(1-F25)+LOOKUP($A25,Barèmes!$AB$65:$AB$148,Barèmes!$M$65:$M$148))</f>
        <v>3734.4922820333386</v>
      </c>
      <c r="I25" s="56">
        <f>G25*((IF($A25&gt;=2019,1-$F25,1))*(LOOKUP($A25,Barèmes!$A$65:$A$148,Barèmes!$AD$65:$AD$148)*LOOKUP($A25,Barèmes!$A$65:$A$148,Barèmes!$AI$65:$AI$148)+LOOKUP($A25,Barèmes!$A$65:$A$148,Barèmes!$AR$65:$AR$148)+IF(C25&gt;=LOOKUP($A25,Barèmes!$A$65:$A$148,Barèmes!$V$65:$V$148),LOOKUP($A25,Barèmes!$A$65:$A$148,Barèmes!$AM$65:$AM$148),0)))+G25*(LOOKUP($A25,Barèmes!$A$65:$A$148,Barèmes!$AE$65:$AE$148)*LOOKUP($A25,Barèmes!$A$65:$A$148,Barèmes!$AI$65:$AI$148)+LOOKUP($A25,Barèmes!$A$65:$A$148,Barèmes!$AS$65:$AS$148)+IF(C25&gt;=LOOKUP($A25,Barèmes!$A$65:$A$148,Barèmes!$V$65:$V$148),LOOKUP($A25,Barèmes!$A$65:$A$148,Barèmes!$AN$65:$AN$148),0))</f>
        <v>2098.8739561051539</v>
      </c>
      <c r="J25" s="220">
        <f>IF(AND($B25&gt;=Simulation!$D$5,$B25&lt;Simulation!$D$6,$I25=0,Simulation!$D$14="Chômage",Simulation!$D$17="Oui"),IF(G24&gt;0,G24*0.03,J24),0)</f>
        <v>0</v>
      </c>
      <c r="K25" s="181">
        <f>Salaires!F15</f>
        <v>0</v>
      </c>
      <c r="L25" s="56">
        <f>K25*(LOOKUP($A25,Barèmes!$AB$65:$AB$148,Barèmes!$O$65:$O$148)*(1-$F25)+LOOKUP($A25,Barèmes!$AB$65:$AB$148,Barèmes!$P$65:$P$148))</f>
        <v>0</v>
      </c>
      <c r="M25" s="56">
        <f>Salaires!E15</f>
        <v>0</v>
      </c>
      <c r="N25" s="56">
        <f>M25*((IF($A25&gt;=2019,1-$F25,1))*(LOOKUP($A25,Barèmes!$A$65:$A$148,Barèmes!$AG$65:$AG$148)*LOOKUP($A25,Barèmes!$A$65:$A$148,Barèmes!$AI$65:$AI$148)+LOOKUP($A25,Barèmes!$A$65:$A$148,Barèmes!$AW$65:$AW$148)+IF($C25&gt;=LOOKUP($A25,Barèmes!$A$65:$A$148,Barèmes!$V$65:$V$148),LOOKUP($A25,Barèmes!$A$65:$A$148,Barèmes!$AM$65:$AM$148),0)))+M25*(LOOKUP($A25,Barèmes!$A$65:$A$148,Barèmes!$AH$65:$AH$148)*LOOKUP($A25,Barèmes!$A$65:$A$148,Barèmes!$AI$65:$AI$148)+LOOKUP($A25,Barèmes!$A$65:$A$148,Barèmes!$AX$65:$AX$148)+IF($C25&gt;=LOOKUP($A25,Barèmes!$A$65:$A$148,Barèmes!$V$65:$V$148),LOOKUP($A25,Barèmes!$A$65:$A$148,Barèmes!$AN$65:$AN$148),0))</f>
        <v>0</v>
      </c>
      <c r="O25" s="56">
        <f>IF(AND($B25&gt;=Simulation!$D$5,$B25&lt;Simulation!$D$6,$N25=0,Simulation!$D$14="Chômage",Simulation!$D$17="Oui"),IF(M24&gt;0,M24*0.03,O24),0)</f>
        <v>0</v>
      </c>
      <c r="Q25" s="91">
        <f t="shared" si="0"/>
        <v>5833.3662381384929</v>
      </c>
      <c r="R25" s="56"/>
      <c r="S25" s="56">
        <f>G25*LOOKUP($A25,Barèmes!$A$65:$A$148,Barèmes!$AC$65:$AC$148)</f>
        <v>1631.3271880123962</v>
      </c>
      <c r="T25" s="56">
        <f>IF(AND($D25=0,Simulation!$D$14="Chômage",Simulation!$D$17="Oui",$B25&gt;=Simulation!$D$5,$B25&lt;Simulation!$D$6),IF($T24&lt;&gt;0,$T24,0),S25/LOOKUP($A25,Barèmes!$AB$65:$AB$148,Barèmes!$BA$65:$BA$148))</f>
        <v>84.384812125615355</v>
      </c>
      <c r="U25" s="181">
        <f>K25*LOOKUP($A25,Barèmes!$A$65:$A$148,Barèmes!$AF$65:$AF$148)</f>
        <v>0</v>
      </c>
      <c r="V25" s="56">
        <f>IF(AND($D25=0,Simulation!$D$14="Chômage",Simulation!$D$17="Oui",$B25&gt;=Simulation!$D$5,$B25&lt;Simulation!$D$6),IF($V24&lt;&gt;0,$V24,0),U25/LOOKUP($A25,Barèmes!$AB$65:$AB$148,Barèmes!$BA$65:$BA$148))</f>
        <v>0</v>
      </c>
      <c r="X25" s="80">
        <f>IF($B25=Simulation!$D$6,1,X26*(1+LOOKUP($A25,Barèmes!$A$65:$A$148,Barèmes!$T$65:$T$148)))</f>
        <v>1.9671718360550712</v>
      </c>
      <c r="Y25" s="358">
        <f t="shared" si="1"/>
        <v>51760.225350281034</v>
      </c>
      <c r="Z25" s="43">
        <f t="shared" si="2"/>
        <v>39</v>
      </c>
      <c r="AA25" s="56">
        <f>IF(AND($B25&gt;=Simulation!$D$5,$B25&lt;Simulation!$D$6),IF(AND(Simulation!$D$14="Enfants",Simulation!$D$10&gt;0,Simulation!$D$21="Oui",Info_cas_type!$H13=0),4,0),0)</f>
        <v>0</v>
      </c>
      <c r="AB25" s="56">
        <f>IF(AND(Simulation!$D$14="Chômage",Simulation!$D$18="Oui",$B25&gt;=Simulation!$D$5,$B25&lt;Simulation!$D$6,$C25=0),4,0)</f>
        <v>0</v>
      </c>
      <c r="AC25" s="81">
        <f>MIN(4,MIN($C25,LOOKUP($A25,Barèmes!$A$65:$A$148,Barèmes!$V$65:$V$148))/LOOKUP($A25,Barèmes!$A$65:$A$148,Barèmes!$S$65:$S$148))</f>
        <v>4</v>
      </c>
      <c r="AD25" s="94"/>
    </row>
    <row r="26" spans="1:30" x14ac:dyDescent="0.25">
      <c r="A26" s="15">
        <f>B26+Simulation!$D$4</f>
        <v>2026</v>
      </c>
      <c r="B26" s="273">
        <v>26</v>
      </c>
      <c r="C26" s="352">
        <f>Salaires!C16</f>
        <v>28794.031610881269</v>
      </c>
      <c r="D26" s="56">
        <f>IF(AND(Simulation!$D$10&gt;0,Simulation!$D$21="Oui",$B26&gt;=Simulation!$D$5,$B26&lt;Simulation!$D$6),IF($C26&gt;0,C26,LOOKUP($A26,Barèmes!$A$65:$A$148,Barèmes!$W$65:$W$148)),MIN($C26,LOOKUP($A26,Barèmes!$A$65:$A$148,Barèmes!$V$65:$V$148)))</f>
        <v>28794.031610881269</v>
      </c>
      <c r="E26" s="56"/>
      <c r="F26" s="63">
        <f>IF(Simulation!$D$44="Oui",IF(C26=0,0,MIN(1,MAX(0,(1.6*LOOKUP(A26,Barèmes!$A$65:$A$148,Barèmes!$F$65:$F$148)/C26-1)/0.6))),0)</f>
        <v>0.20433122572206383</v>
      </c>
      <c r="G26" s="181">
        <f>Salaires!D16</f>
        <v>28794.031610881269</v>
      </c>
      <c r="H26" s="56">
        <f>G26*(LOOKUP($A26,Barèmes!$AB$65:$AB$148,Barèmes!$L$65:$L$148)*(1-F26)+LOOKUP($A26,Barèmes!$AB$65:$AB$148,Barèmes!$M$65:$M$148))</f>
        <v>4496.1127947019122</v>
      </c>
      <c r="I26" s="56">
        <f>G26*((IF($A26&gt;=2019,1-$F26,1))*(LOOKUP($A26,Barèmes!$A$65:$A$148,Barèmes!$AD$65:$AD$148)*LOOKUP($A26,Barèmes!$A$65:$A$148,Barèmes!$AI$65:$AI$148)+LOOKUP($A26,Barèmes!$A$65:$A$148,Barèmes!$AR$65:$AR$148)+IF(C26&gt;=LOOKUP($A26,Barèmes!$A$65:$A$148,Barèmes!$V$65:$V$148),LOOKUP($A26,Barèmes!$A$65:$A$148,Barèmes!$AM$65:$AM$148),0)))+G26*(LOOKUP($A26,Barèmes!$A$65:$A$148,Barèmes!$AE$65:$AE$148)*LOOKUP($A26,Barèmes!$A$65:$A$148,Barèmes!$AI$65:$AI$148)+LOOKUP($A26,Barèmes!$A$65:$A$148,Barèmes!$AS$65:$AS$148)+IF(C26&gt;=LOOKUP($A26,Barèmes!$A$65:$A$148,Barèmes!$V$65:$V$148),LOOKUP($A26,Barèmes!$A$65:$A$148,Barèmes!$AN$65:$AN$148),0))</f>
        <v>2532.4553154756204</v>
      </c>
      <c r="J26" s="220">
        <f>IF(AND($B26&gt;=Simulation!$D$5,$B26&lt;Simulation!$D$6,$I26=0,Simulation!$D$14="Chômage",Simulation!$D$17="Oui"),IF(G25&gt;0,G25*0.03,J25),0)</f>
        <v>0</v>
      </c>
      <c r="K26" s="181">
        <f>Salaires!F16</f>
        <v>0</v>
      </c>
      <c r="L26" s="56">
        <f>K26*(LOOKUP($A26,Barèmes!$AB$65:$AB$148,Barèmes!$O$65:$O$148)*(1-$F26)+LOOKUP($A26,Barèmes!$AB$65:$AB$148,Barèmes!$P$65:$P$148))</f>
        <v>0</v>
      </c>
      <c r="M26" s="56">
        <f>Salaires!E16</f>
        <v>0</v>
      </c>
      <c r="N26" s="56">
        <f>M26*((IF($A26&gt;=2019,1-$F26,1))*(LOOKUP($A26,Barèmes!$A$65:$A$148,Barèmes!$AG$65:$AG$148)*LOOKUP($A26,Barèmes!$A$65:$A$148,Barèmes!$AI$65:$AI$148)+LOOKUP($A26,Barèmes!$A$65:$A$148,Barèmes!$AW$65:$AW$148)+IF($C26&gt;=LOOKUP($A26,Barèmes!$A$65:$A$148,Barèmes!$V$65:$V$148),LOOKUP($A26,Barèmes!$A$65:$A$148,Barèmes!$AM$65:$AM$148),0)))+M26*(LOOKUP($A26,Barèmes!$A$65:$A$148,Barèmes!$AH$65:$AH$148)*LOOKUP($A26,Barèmes!$A$65:$A$148,Barèmes!$AI$65:$AI$148)+LOOKUP($A26,Barèmes!$A$65:$A$148,Barèmes!$AX$65:$AX$148)+IF($C26&gt;=LOOKUP($A26,Barèmes!$A$65:$A$148,Barèmes!$V$65:$V$148),LOOKUP($A26,Barèmes!$A$65:$A$148,Barèmes!$AN$65:$AN$148),0))</f>
        <v>0</v>
      </c>
      <c r="O26" s="56">
        <f>IF(AND($B26&gt;=Simulation!$D$5,$B26&lt;Simulation!$D$6,$N26=0,Simulation!$D$14="Chômage",Simulation!$D$17="Oui"),IF(M25&gt;0,M25*0.03,O25),0)</f>
        <v>0</v>
      </c>
      <c r="Q26" s="91">
        <f t="shared" si="0"/>
        <v>7028.5681101775326</v>
      </c>
      <c r="R26" s="56"/>
      <c r="S26" s="56">
        <f>G26*LOOKUP($A26,Barèmes!$A$65:$A$148,Barèmes!$AC$65:$AC$148)</f>
        <v>1785.2299598746388</v>
      </c>
      <c r="T26" s="56">
        <f>IF(AND($D26=0,Simulation!$D$14="Chômage",Simulation!$D$17="Oui",$B26&gt;=Simulation!$D$5,$B26&lt;Simulation!$D$6),IF($T25&lt;&gt;0,$T25,0),S26/LOOKUP($A26,Barèmes!$AB$65:$AB$148,Barèmes!$BA$65:$BA$148))</f>
        <v>89.543111078072471</v>
      </c>
      <c r="U26" s="181">
        <f>K26*LOOKUP($A26,Barèmes!$A$65:$A$148,Barèmes!$AF$65:$AF$148)</f>
        <v>0</v>
      </c>
      <c r="V26" s="56">
        <f>IF(AND($D26=0,Simulation!$D$14="Chômage",Simulation!$D$17="Oui",$B26&gt;=Simulation!$D$5,$B26&lt;Simulation!$D$6),IF($V25&lt;&gt;0,$V25,0),U26/LOOKUP($A26,Barèmes!$AB$65:$AB$148,Barèmes!$BA$65:$BA$148))</f>
        <v>0</v>
      </c>
      <c r="X26" s="80">
        <f>IF($B26=Simulation!$D$6,1,X27*(1+LOOKUP($A26,Barèmes!$A$65:$A$148,Barèmes!$T$65:$T$148)))</f>
        <v>1.9333384138133376</v>
      </c>
      <c r="Y26" s="358">
        <f t="shared" si="1"/>
        <v>55668.54628734124</v>
      </c>
      <c r="Z26" s="43">
        <f t="shared" si="2"/>
        <v>38</v>
      </c>
      <c r="AA26" s="56">
        <f>IF(AND($B26&gt;=Simulation!$D$5,$B26&lt;Simulation!$D$6),IF(AND(Simulation!$D$14="Enfants",Simulation!$D$10&gt;0,Simulation!$D$21="Oui",Info_cas_type!$H14=0),4,0),0)</f>
        <v>0</v>
      </c>
      <c r="AB26" s="56">
        <f>IF(AND(Simulation!$D$14="Chômage",Simulation!$D$18="Oui",$B26&gt;=Simulation!$D$5,$B26&lt;Simulation!$D$6,$C26=0),4,0)</f>
        <v>0</v>
      </c>
      <c r="AC26" s="81">
        <f>MIN(4,MIN($C26,LOOKUP($A26,Barèmes!$A$65:$A$148,Barèmes!$V$65:$V$148))/LOOKUP($A26,Barèmes!$A$65:$A$148,Barèmes!$S$65:$S$148))</f>
        <v>4</v>
      </c>
      <c r="AD26" s="94"/>
    </row>
    <row r="27" spans="1:30" x14ac:dyDescent="0.25">
      <c r="A27" s="15">
        <f>B27+Simulation!$D$4</f>
        <v>2027</v>
      </c>
      <c r="B27" s="273">
        <v>27</v>
      </c>
      <c r="C27" s="352">
        <f>Salaires!C17</f>
        <v>30831.559715652082</v>
      </c>
      <c r="D27" s="56">
        <f>IF(AND(Simulation!$D$10&gt;0,Simulation!$D$21="Oui",$B27&gt;=Simulation!$D$5,$B27&lt;Simulation!$D$6),IF($C27&gt;0,C27,LOOKUP($A27,Barèmes!$A$65:$A$148,Barèmes!$W$65:$W$148)),MIN($C27,LOOKUP($A27,Barèmes!$A$65:$A$148,Barèmes!$V$65:$V$148)))</f>
        <v>30831.559715652082</v>
      </c>
      <c r="E27" s="56"/>
      <c r="F27" s="63">
        <f>IF(Simulation!$D$44="Oui",IF(C27=0,0,MIN(1,MAX(0,(1.6*LOOKUP(A27,Barèmes!$A$65:$A$148,Barèmes!$F$65:$F$148)/C27-1)/0.6))),0)</f>
        <v>0.11798293606776311</v>
      </c>
      <c r="G27" s="181">
        <f>Salaires!D17</f>
        <v>30831.559715652082</v>
      </c>
      <c r="H27" s="56">
        <f>G27*(LOOKUP($A27,Barèmes!$AB$65:$AB$148,Barèmes!$L$65:$L$148)*(1-F27)+LOOKUP($A27,Barèmes!$AB$65:$AB$148,Barèmes!$M$65:$M$148))</f>
        <v>5092.4728649235185</v>
      </c>
      <c r="I27" s="56">
        <f>G27*((IF($A27&gt;=2019,1-$F27,1))*(LOOKUP($A27,Barèmes!$A$65:$A$148,Barèmes!$AD$65:$AD$148)*LOOKUP($A27,Barèmes!$A$65:$A$148,Barèmes!$AI$65:$AI$148)+LOOKUP($A27,Barèmes!$A$65:$A$148,Barèmes!$AR$65:$AR$148)+IF(C27&gt;=LOOKUP($A27,Barèmes!$A$65:$A$148,Barèmes!$V$65:$V$148),LOOKUP($A27,Barèmes!$A$65:$A$148,Barèmes!$AM$65:$AM$148),0)))+G27*(LOOKUP($A27,Barèmes!$A$65:$A$148,Barèmes!$AE$65:$AE$148)*LOOKUP($A27,Barèmes!$A$65:$A$148,Barèmes!$AI$65:$AI$148)+LOOKUP($A27,Barèmes!$A$65:$A$148,Barèmes!$AS$65:$AS$148)+IF(C27&gt;=LOOKUP($A27,Barèmes!$A$65:$A$148,Barèmes!$V$65:$V$148),LOOKUP($A27,Barèmes!$A$65:$A$148,Barèmes!$AN$65:$AN$148),0))</f>
        <v>2871.7758554657053</v>
      </c>
      <c r="J27" s="220">
        <f>IF(AND($B27&gt;=Simulation!$D$5,$B27&lt;Simulation!$D$6,$I27=0,Simulation!$D$14="Chômage",Simulation!$D$17="Oui"),IF(G26&gt;0,G26*0.03,J26),0)</f>
        <v>0</v>
      </c>
      <c r="K27" s="181">
        <f>Salaires!F17</f>
        <v>0</v>
      </c>
      <c r="L27" s="56">
        <f>K27*(LOOKUP($A27,Barèmes!$AB$65:$AB$148,Barèmes!$O$65:$O$148)*(1-$F27)+LOOKUP($A27,Barèmes!$AB$65:$AB$148,Barèmes!$P$65:$P$148))</f>
        <v>0</v>
      </c>
      <c r="M27" s="56">
        <f>Salaires!E17</f>
        <v>0</v>
      </c>
      <c r="N27" s="56">
        <f>M27*((IF($A27&gt;=2019,1-$F27,1))*(LOOKUP($A27,Barèmes!$A$65:$A$148,Barèmes!$AG$65:$AG$148)*LOOKUP($A27,Barèmes!$A$65:$A$148,Barèmes!$AI$65:$AI$148)+LOOKUP($A27,Barèmes!$A$65:$A$148,Barèmes!$AW$65:$AW$148)+IF($C27&gt;=LOOKUP($A27,Barèmes!$A$65:$A$148,Barèmes!$V$65:$V$148),LOOKUP($A27,Barèmes!$A$65:$A$148,Barèmes!$AM$65:$AM$148),0)))+M27*(LOOKUP($A27,Barèmes!$A$65:$A$148,Barèmes!$AH$65:$AH$148)*LOOKUP($A27,Barèmes!$A$65:$A$148,Barèmes!$AI$65:$AI$148)+LOOKUP($A27,Barèmes!$A$65:$A$148,Barèmes!$AX$65:$AX$148)+IF($C27&gt;=LOOKUP($A27,Barèmes!$A$65:$A$148,Barèmes!$V$65:$V$148),LOOKUP($A27,Barèmes!$A$65:$A$148,Barèmes!$AN$65:$AN$148),0))</f>
        <v>0</v>
      </c>
      <c r="O27" s="56">
        <f>IF(AND($B27&gt;=Simulation!$D$5,$B27&lt;Simulation!$D$6,$N27=0,Simulation!$D$14="Chômage",Simulation!$D$17="Oui"),IF(M26&gt;0,M26*0.03,O26),0)</f>
        <v>0</v>
      </c>
      <c r="Q27" s="91">
        <f t="shared" si="0"/>
        <v>7964.2487203892233</v>
      </c>
      <c r="R27" s="56"/>
      <c r="S27" s="56">
        <f>G27*LOOKUP($A27,Barèmes!$A$65:$A$148,Barèmes!$AC$65:$AC$148)</f>
        <v>1911.5567023704291</v>
      </c>
      <c r="T27" s="56">
        <f>IF(AND($D27=0,Simulation!$D$14="Chômage",Simulation!$D$17="Oui",$B27&gt;=Simulation!$D$5,$B27&lt;Simulation!$D$6),IF($T26&lt;&gt;0,$T26,0),S27/LOOKUP($A27,Barèmes!$AB$65:$AB$148,Barèmes!$BA$65:$BA$148))</f>
        <v>93.041523196193225</v>
      </c>
      <c r="U27" s="181">
        <f>K27*LOOKUP($A27,Barèmes!$A$65:$A$148,Barèmes!$AF$65:$AF$148)</f>
        <v>0</v>
      </c>
      <c r="V27" s="56">
        <f>IF(AND($D27=0,Simulation!$D$14="Chômage",Simulation!$D$17="Oui",$B27&gt;=Simulation!$D$5,$B27&lt;Simulation!$D$6),IF($V26&lt;&gt;0,$V26,0),U27/LOOKUP($A27,Barèmes!$AB$65:$AB$148,Barèmes!$BA$65:$BA$148))</f>
        <v>0</v>
      </c>
      <c r="X27" s="80">
        <f>IF($B27=Simulation!$D$6,1,X28*(1+LOOKUP($A27,Barèmes!$A$65:$A$148,Barèmes!$T$65:$T$148)))</f>
        <v>1.9000868931826413</v>
      </c>
      <c r="Y27" s="358">
        <f t="shared" si="1"/>
        <v>58583.479090607201</v>
      </c>
      <c r="Z27" s="43">
        <f t="shared" si="2"/>
        <v>37</v>
      </c>
      <c r="AA27" s="56">
        <f>IF(AND($B27&gt;=Simulation!$D$5,$B27&lt;Simulation!$D$6),IF(AND(Simulation!$D$14="Enfants",Simulation!$D$10&gt;0,Simulation!$D$21="Oui",Info_cas_type!$H15=0),4,0),0)</f>
        <v>0</v>
      </c>
      <c r="AB27" s="56">
        <f>IF(AND(Simulation!$D$14="Chômage",Simulation!$D$18="Oui",$B27&gt;=Simulation!$D$5,$B27&lt;Simulation!$D$6,$C27=0),4,0)</f>
        <v>0</v>
      </c>
      <c r="AC27" s="81">
        <f>MIN(4,MIN($C27,LOOKUP($A27,Barèmes!$A$65:$A$148,Barèmes!$V$65:$V$148))/LOOKUP($A27,Barèmes!$A$65:$A$148,Barèmes!$S$65:$S$148))</f>
        <v>4</v>
      </c>
      <c r="AD27" s="94"/>
    </row>
    <row r="28" spans="1:30" x14ac:dyDescent="0.25">
      <c r="A28" s="15">
        <f>B28+Simulation!$D$4</f>
        <v>2028</v>
      </c>
      <c r="B28" s="273">
        <v>28</v>
      </c>
      <c r="C28" s="352">
        <f>Salaires!C18</f>
        <v>32698.88887409016</v>
      </c>
      <c r="D28" s="56">
        <f>IF(AND(Simulation!$D$10&gt;0,Simulation!$D$21="Oui",$B28&gt;=Simulation!$D$5,$B28&lt;Simulation!$D$6),IF($C28&gt;0,C28,LOOKUP($A28,Barèmes!$A$65:$A$148,Barèmes!$W$65:$W$148)),MIN($C28,LOOKUP($A28,Barèmes!$A$65:$A$148,Barèmes!$V$65:$V$148)))</f>
        <v>32698.88887409016</v>
      </c>
      <c r="E28" s="56"/>
      <c r="F28" s="63">
        <f>IF(Simulation!$D$44="Oui",IF(C28=0,0,MIN(1,MAX(0,(1.6*LOOKUP(A28,Barèmes!$A$65:$A$148,Barèmes!$F$65:$F$148)/C28-1)/0.6))),0)</f>
        <v>5.3959518438954454E-2</v>
      </c>
      <c r="G28" s="181">
        <f>Salaires!D18</f>
        <v>32698.88887409016</v>
      </c>
      <c r="H28" s="56">
        <f>G28*(LOOKUP($A28,Barèmes!$AB$65:$AB$148,Barèmes!$L$65:$L$148)*(1-F28)+LOOKUP($A28,Barèmes!$AB$65:$AB$148,Barèmes!$M$65:$M$148))</f>
        <v>5619.6712721004178</v>
      </c>
      <c r="I28" s="56">
        <f>G28*((IF($A28&gt;=2019,1-$F28,1))*(LOOKUP($A28,Barèmes!$A$65:$A$148,Barèmes!$AD$65:$AD$148)*LOOKUP($A28,Barèmes!$A$65:$A$148,Barèmes!$AI$65:$AI$148)+LOOKUP($A28,Barèmes!$A$65:$A$148,Barèmes!$AR$65:$AR$148)+IF(C28&gt;=LOOKUP($A28,Barèmes!$A$65:$A$148,Barèmes!$V$65:$V$148),LOOKUP($A28,Barèmes!$A$65:$A$148,Barèmes!$AM$65:$AM$148),0)))+G28*(LOOKUP($A28,Barèmes!$A$65:$A$148,Barèmes!$AE$65:$AE$148)*LOOKUP($A28,Barèmes!$A$65:$A$148,Barèmes!$AI$65:$AI$148)+LOOKUP($A28,Barèmes!$A$65:$A$148,Barèmes!$AS$65:$AS$148)+IF(C28&gt;=LOOKUP($A28,Barèmes!$A$65:$A$148,Barèmes!$V$65:$V$148),LOOKUP($A28,Barèmes!$A$65:$A$148,Barèmes!$AN$65:$AN$148),0))</f>
        <v>3171.6175669639233</v>
      </c>
      <c r="J28" s="220">
        <f>IF(AND($B28&gt;=Simulation!$D$5,$B28&lt;Simulation!$D$6,$I28=0,Simulation!$D$14="Chômage",Simulation!$D$17="Oui"),IF(G27&gt;0,G27*0.03,J27),0)</f>
        <v>0</v>
      </c>
      <c r="K28" s="181">
        <f>Salaires!F18</f>
        <v>0</v>
      </c>
      <c r="L28" s="56">
        <f>K28*(LOOKUP($A28,Barèmes!$AB$65:$AB$148,Barèmes!$O$65:$O$148)*(1-$F28)+LOOKUP($A28,Barèmes!$AB$65:$AB$148,Barèmes!$P$65:$P$148))</f>
        <v>0</v>
      </c>
      <c r="M28" s="56">
        <f>Salaires!E18</f>
        <v>0</v>
      </c>
      <c r="N28" s="56">
        <f>M28*((IF($A28&gt;=2019,1-$F28,1))*(LOOKUP($A28,Barèmes!$A$65:$A$148,Barèmes!$AG$65:$AG$148)*LOOKUP($A28,Barèmes!$A$65:$A$148,Barèmes!$AI$65:$AI$148)+LOOKUP($A28,Barèmes!$A$65:$A$148,Barèmes!$AW$65:$AW$148)+IF($C28&gt;=LOOKUP($A28,Barèmes!$A$65:$A$148,Barèmes!$V$65:$V$148),LOOKUP($A28,Barèmes!$A$65:$A$148,Barèmes!$AM$65:$AM$148),0)))+M28*(LOOKUP($A28,Barèmes!$A$65:$A$148,Barèmes!$AH$65:$AH$148)*LOOKUP($A28,Barèmes!$A$65:$A$148,Barèmes!$AI$65:$AI$148)+LOOKUP($A28,Barèmes!$A$65:$A$148,Barèmes!$AX$65:$AX$148)+IF($C28&gt;=LOOKUP($A28,Barèmes!$A$65:$A$148,Barèmes!$V$65:$V$148),LOOKUP($A28,Barèmes!$A$65:$A$148,Barèmes!$AN$65:$AN$148),0))</f>
        <v>0</v>
      </c>
      <c r="O28" s="56">
        <f>IF(AND($B28&gt;=Simulation!$D$5,$B28&lt;Simulation!$D$6,$N28=0,Simulation!$D$14="Chômage",Simulation!$D$17="Oui"),IF(M27&gt;0,M27*0.03,O27),0)</f>
        <v>0</v>
      </c>
      <c r="Q28" s="91">
        <f t="shared" si="0"/>
        <v>8791.288839064342</v>
      </c>
      <c r="R28" s="56"/>
      <c r="S28" s="56">
        <f>G28*LOOKUP($A28,Barèmes!$A$65:$A$148,Barèmes!$AC$65:$AC$148)</f>
        <v>2027.3311101935899</v>
      </c>
      <c r="T28" s="56">
        <f>IF(AND($D28=0,Simulation!$D$14="Chômage",Simulation!$D$17="Oui",$B28&gt;=Simulation!$D$5,$B28&lt;Simulation!$D$6),IF($T27&lt;&gt;0,$T27,0),S28/LOOKUP($A28,Barèmes!$AB$65:$AB$148,Barèmes!$BA$65:$BA$148))</f>
        <v>95.8675905175905</v>
      </c>
      <c r="U28" s="181">
        <f>K28*LOOKUP($A28,Barèmes!$A$65:$A$148,Barèmes!$AF$65:$AF$148)</f>
        <v>0</v>
      </c>
      <c r="V28" s="56">
        <f>IF(AND($D28=0,Simulation!$D$14="Chômage",Simulation!$D$17="Oui",$B28&gt;=Simulation!$D$5,$B28&lt;Simulation!$D$6),IF($V27&lt;&gt;0,$V27,0),U28/LOOKUP($A28,Barèmes!$AB$65:$AB$148,Barèmes!$BA$65:$BA$148))</f>
        <v>0</v>
      </c>
      <c r="X28" s="80">
        <f>IF($B28=Simulation!$D$6,1,X29*(1+LOOKUP($A28,Barèmes!$A$65:$A$148,Barèmes!$T$65:$T$148)))</f>
        <v>1.8674072660271659</v>
      </c>
      <c r="Y28" s="358">
        <f t="shared" si="1"/>
        <v>61062.350191822297</v>
      </c>
      <c r="Z28" s="43">
        <f t="shared" si="2"/>
        <v>36</v>
      </c>
      <c r="AA28" s="56">
        <f>IF(AND($B28&gt;=Simulation!$D$5,$B28&lt;Simulation!$D$6),IF(AND(Simulation!$D$14="Enfants",Simulation!$D$10&gt;0,Simulation!$D$21="Oui",Info_cas_type!$H16=0),4,0),0)</f>
        <v>0</v>
      </c>
      <c r="AB28" s="56">
        <f>IF(AND(Simulation!$D$14="Chômage",Simulation!$D$18="Oui",$B28&gt;=Simulation!$D$5,$B28&lt;Simulation!$D$6,$C28=0),4,0)</f>
        <v>0</v>
      </c>
      <c r="AC28" s="81">
        <f>MIN(4,MIN($C28,LOOKUP($A28,Barèmes!$A$65:$A$148,Barèmes!$V$65:$V$148))/LOOKUP($A28,Barèmes!$A$65:$A$148,Barèmes!$S$65:$S$148))</f>
        <v>4</v>
      </c>
      <c r="AD28" s="94"/>
    </row>
    <row r="29" spans="1:30" x14ac:dyDescent="0.25">
      <c r="A29" s="15">
        <f>B29+Simulation!$D$4</f>
        <v>2029</v>
      </c>
      <c r="B29" s="273">
        <v>29</v>
      </c>
      <c r="C29" s="352">
        <f>Salaires!C19</f>
        <v>34928.624613048181</v>
      </c>
      <c r="D29" s="56">
        <f>IF(AND(Simulation!$D$10&gt;0,Simulation!$D$21="Oui",$B29&gt;=Simulation!$D$5,$B29&lt;Simulation!$D$6),IF($C29&gt;0,C29,LOOKUP($A29,Barèmes!$A$65:$A$148,Barèmes!$W$65:$W$148)),MIN($C29,LOOKUP($A29,Barèmes!$A$65:$A$148,Barèmes!$V$65:$V$148)))</f>
        <v>34928.624613048181</v>
      </c>
      <c r="E29" s="56"/>
      <c r="F29" s="63">
        <f>IF(Simulation!$D$44="Oui",IF(C29=0,0,MIN(1,MAX(0,(1.6*LOOKUP(A29,Barèmes!$A$65:$A$148,Barèmes!$F$65:$F$148)/C29-1)/0.6))),0)</f>
        <v>0</v>
      </c>
      <c r="G29" s="181">
        <f>Salaires!D19</f>
        <v>34928.624613048181</v>
      </c>
      <c r="H29" s="56">
        <f>G29*(LOOKUP($A29,Barèmes!$AB$65:$AB$148,Barèmes!$L$65:$L$148)*(1-F29)+LOOKUP($A29,Barèmes!$AB$65:$AB$148,Barèmes!$M$65:$M$148))</f>
        <v>6199.8308688160523</v>
      </c>
      <c r="I29" s="56">
        <f>G29*((IF($A29&gt;=2019,1-$F29,1))*(LOOKUP($A29,Barèmes!$A$65:$A$148,Barèmes!$AD$65:$AD$148)*LOOKUP($A29,Barèmes!$A$65:$A$148,Barèmes!$AI$65:$AI$148)+LOOKUP($A29,Barèmes!$A$65:$A$148,Barèmes!$AR$65:$AR$148)+IF(C29&gt;=LOOKUP($A29,Barèmes!$A$65:$A$148,Barèmes!$V$65:$V$148),LOOKUP($A29,Barèmes!$A$65:$A$148,Barèmes!$AM$65:$AM$148),0)))+G29*(LOOKUP($A29,Barèmes!$A$65:$A$148,Barèmes!$AE$65:$AE$148)*LOOKUP($A29,Barèmes!$A$65:$A$148,Barèmes!$AI$65:$AI$148)+LOOKUP($A29,Barèmes!$A$65:$A$148,Barèmes!$AS$65:$AS$148)+IF(C29&gt;=LOOKUP($A29,Barèmes!$A$65:$A$148,Barèmes!$V$65:$V$148),LOOKUP($A29,Barèmes!$A$65:$A$148,Barèmes!$AN$65:$AN$148),0))</f>
        <v>3501.2453312119496</v>
      </c>
      <c r="J29" s="220">
        <f>IF(AND($B29&gt;=Simulation!$D$5,$B29&lt;Simulation!$D$6,$I29=0,Simulation!$D$14="Chômage",Simulation!$D$17="Oui"),IF(G28&gt;0,G28*0.03,J28),0)</f>
        <v>0</v>
      </c>
      <c r="K29" s="181">
        <f>Salaires!F19</f>
        <v>0</v>
      </c>
      <c r="L29" s="56">
        <f>K29*(LOOKUP($A29,Barèmes!$AB$65:$AB$148,Barèmes!$O$65:$O$148)*(1-$F29)+LOOKUP($A29,Barèmes!$AB$65:$AB$148,Barèmes!$P$65:$P$148))</f>
        <v>0</v>
      </c>
      <c r="M29" s="56">
        <f>Salaires!E19</f>
        <v>0</v>
      </c>
      <c r="N29" s="56">
        <f>M29*((IF($A29&gt;=2019,1-$F29,1))*(LOOKUP($A29,Barèmes!$A$65:$A$148,Barèmes!$AG$65:$AG$148)*LOOKUP($A29,Barèmes!$A$65:$A$148,Barèmes!$AI$65:$AI$148)+LOOKUP($A29,Barèmes!$A$65:$A$148,Barèmes!$AW$65:$AW$148)+IF($C29&gt;=LOOKUP($A29,Barèmes!$A$65:$A$148,Barèmes!$V$65:$V$148),LOOKUP($A29,Barèmes!$A$65:$A$148,Barèmes!$AM$65:$AM$148),0)))+M29*(LOOKUP($A29,Barèmes!$A$65:$A$148,Barèmes!$AH$65:$AH$148)*LOOKUP($A29,Barèmes!$A$65:$A$148,Barèmes!$AI$65:$AI$148)+LOOKUP($A29,Barèmes!$A$65:$A$148,Barèmes!$AX$65:$AX$148)+IF($C29&gt;=LOOKUP($A29,Barèmes!$A$65:$A$148,Barèmes!$V$65:$V$148),LOOKUP($A29,Barèmes!$A$65:$A$148,Barèmes!$AN$65:$AN$148),0))</f>
        <v>0</v>
      </c>
      <c r="O29" s="56">
        <f>IF(AND($B29&gt;=Simulation!$D$5,$B29&lt;Simulation!$D$6,$N29=0,Simulation!$D$14="Chômage",Simulation!$D$17="Oui"),IF(M28&gt;0,M28*0.03,O28),0)</f>
        <v>0</v>
      </c>
      <c r="Q29" s="91">
        <f t="shared" si="0"/>
        <v>9701.076200028001</v>
      </c>
      <c r="R29" s="56"/>
      <c r="S29" s="56">
        <f>G29*LOOKUP($A29,Barèmes!$A$65:$A$148,Barèmes!$AC$65:$AC$148)</f>
        <v>2165.5747260089875</v>
      </c>
      <c r="T29" s="56">
        <f>IF(AND($D29=0,Simulation!$D$14="Chômage",Simulation!$D$17="Oui",$B29&gt;=Simulation!$D$5,$B29&lt;Simulation!$D$6),IF($T28&lt;&gt;0,$T28,0),S29/LOOKUP($A29,Barèmes!$AB$65:$AB$148,Barèmes!$BA$65:$BA$148))</f>
        <v>99.741832828645599</v>
      </c>
      <c r="U29" s="181">
        <f>K29*LOOKUP($A29,Barèmes!$A$65:$A$148,Barèmes!$AF$65:$AF$148)</f>
        <v>0</v>
      </c>
      <c r="V29" s="56">
        <f>IF(AND($D29=0,Simulation!$D$14="Chômage",Simulation!$D$17="Oui",$B29&gt;=Simulation!$D$5,$B29&lt;Simulation!$D$6),IF($V28&lt;&gt;0,$V28,0),U29/LOOKUP($A29,Barèmes!$AB$65:$AB$148,Barèmes!$BA$65:$BA$148))</f>
        <v>0</v>
      </c>
      <c r="X29" s="80">
        <f>IF($B29=Simulation!$D$6,1,X30*(1+LOOKUP($A29,Barèmes!$A$65:$A$148,Barèmes!$T$65:$T$148)))</f>
        <v>1.8352896963411949</v>
      </c>
      <c r="Y29" s="358">
        <f t="shared" si="1"/>
        <v>64104.833803501599</v>
      </c>
      <c r="Z29" s="43">
        <f t="shared" si="2"/>
        <v>35</v>
      </c>
      <c r="AA29" s="56">
        <f>IF(AND($B29&gt;=Simulation!$D$5,$B29&lt;Simulation!$D$6),IF(AND(Simulation!$D$14="Enfants",Simulation!$D$10&gt;0,Simulation!$D$21="Oui",Info_cas_type!$H17=0),4,0),0)</f>
        <v>0</v>
      </c>
      <c r="AB29" s="56">
        <f>IF(AND(Simulation!$D$14="Chômage",Simulation!$D$18="Oui",$B29&gt;=Simulation!$D$5,$B29&lt;Simulation!$D$6,$C29=0),4,0)</f>
        <v>0</v>
      </c>
      <c r="AC29" s="81">
        <f>MIN(4,MIN($C29,LOOKUP($A29,Barèmes!$A$65:$A$148,Barèmes!$V$65:$V$148))/LOOKUP($A29,Barèmes!$A$65:$A$148,Barèmes!$S$65:$S$148))</f>
        <v>4</v>
      </c>
      <c r="AD29" s="94"/>
    </row>
    <row r="30" spans="1:30" x14ac:dyDescent="0.25">
      <c r="A30" s="15">
        <f>B30+Simulation!$D$4</f>
        <v>2030</v>
      </c>
      <c r="B30" s="273">
        <v>30</v>
      </c>
      <c r="C30" s="352">
        <f>Salaires!C20</f>
        <v>36974.317253504931</v>
      </c>
      <c r="D30" s="56">
        <f>IF(AND(Simulation!$D$10&gt;0,Simulation!$D$21="Oui",$B30&gt;=Simulation!$D$5,$B30&lt;Simulation!$D$6),IF($C30&gt;0,C30,LOOKUP($A30,Barèmes!$A$65:$A$148,Barèmes!$W$65:$W$148)),MIN($C30,LOOKUP($A30,Barèmes!$A$65:$A$148,Barèmes!$V$65:$V$148)))</f>
        <v>36974.317253504931</v>
      </c>
      <c r="E30" s="56"/>
      <c r="F30" s="63">
        <f>IF(Simulation!$D$44="Oui",IF(C30=0,0,MIN(1,MAX(0,(1.6*LOOKUP(A30,Barèmes!$A$65:$A$148,Barèmes!$F$65:$F$148)/C30-1)/0.6))),0)</f>
        <v>0</v>
      </c>
      <c r="G30" s="181">
        <f>Salaires!D20</f>
        <v>36974.317253504931</v>
      </c>
      <c r="H30" s="56">
        <f>G30*(LOOKUP($A30,Barèmes!$AB$65:$AB$148,Barèmes!$L$65:$L$148)*(1-F30)+LOOKUP($A30,Barèmes!$AB$65:$AB$148,Barèmes!$M$65:$M$148))</f>
        <v>6562.9413124971252</v>
      </c>
      <c r="I30" s="56">
        <f>G30*((IF($A30&gt;=2019,1-$F30,1))*(LOOKUP($A30,Barèmes!$A$65:$A$148,Barèmes!$AD$65:$AD$148)*LOOKUP($A30,Barèmes!$A$65:$A$148,Barèmes!$AI$65:$AI$148)+LOOKUP($A30,Barèmes!$A$65:$A$148,Barèmes!$AR$65:$AR$148)+IF(C30&gt;=LOOKUP($A30,Barèmes!$A$65:$A$148,Barèmes!$V$65:$V$148),LOOKUP($A30,Barèmes!$A$65:$A$148,Barèmes!$AM$65:$AM$148),0)))+G30*(LOOKUP($A30,Barèmes!$A$65:$A$148,Barèmes!$AE$65:$AE$148)*LOOKUP($A30,Barèmes!$A$65:$A$148,Barèmes!$AI$65:$AI$148)+LOOKUP($A30,Barèmes!$A$65:$A$148,Barèmes!$AS$65:$AS$148)+IF(C30&gt;=LOOKUP($A30,Barèmes!$A$65:$A$148,Barèmes!$V$65:$V$148),LOOKUP($A30,Barèmes!$A$65:$A$148,Barèmes!$AN$65:$AN$148),0))</f>
        <v>3706.3055614913346</v>
      </c>
      <c r="J30" s="220">
        <f>IF(AND($B30&gt;=Simulation!$D$5,$B30&lt;Simulation!$D$6,$I30=0,Simulation!$D$14="Chômage",Simulation!$D$17="Oui"),IF(G29&gt;0,G29*0.03,J29),0)</f>
        <v>0</v>
      </c>
      <c r="K30" s="181">
        <f>Salaires!F20</f>
        <v>0</v>
      </c>
      <c r="L30" s="56">
        <f>K30*(LOOKUP($A30,Barèmes!$AB$65:$AB$148,Barèmes!$O$65:$O$148)*(1-$F30)+LOOKUP($A30,Barèmes!$AB$65:$AB$148,Barèmes!$P$65:$P$148))</f>
        <v>0</v>
      </c>
      <c r="M30" s="56">
        <f>Salaires!E20</f>
        <v>0</v>
      </c>
      <c r="N30" s="56">
        <f>M30*((IF($A30&gt;=2019,1-$F30,1))*(LOOKUP($A30,Barèmes!$A$65:$A$148,Barèmes!$AG$65:$AG$148)*LOOKUP($A30,Barèmes!$A$65:$A$148,Barèmes!$AI$65:$AI$148)+LOOKUP($A30,Barèmes!$A$65:$A$148,Barèmes!$AW$65:$AW$148)+IF($C30&gt;=LOOKUP($A30,Barèmes!$A$65:$A$148,Barèmes!$V$65:$V$148),LOOKUP($A30,Barèmes!$A$65:$A$148,Barèmes!$AM$65:$AM$148),0)))+M30*(LOOKUP($A30,Barèmes!$A$65:$A$148,Barèmes!$AH$65:$AH$148)*LOOKUP($A30,Barèmes!$A$65:$A$148,Barèmes!$AI$65:$AI$148)+LOOKUP($A30,Barèmes!$A$65:$A$148,Barèmes!$AX$65:$AX$148)+IF($C30&gt;=LOOKUP($A30,Barèmes!$A$65:$A$148,Barèmes!$V$65:$V$148),LOOKUP($A30,Barèmes!$A$65:$A$148,Barèmes!$AN$65:$AN$148),0))</f>
        <v>0</v>
      </c>
      <c r="O30" s="56">
        <f>IF(AND($B30&gt;=Simulation!$D$5,$B30&lt;Simulation!$D$6,$N30=0,Simulation!$D$14="Chômage",Simulation!$D$17="Oui"),IF(M29&gt;0,M29*0.03,O29),0)</f>
        <v>0</v>
      </c>
      <c r="Q30" s="91">
        <f t="shared" si="0"/>
        <v>10269.246873988461</v>
      </c>
      <c r="R30" s="56"/>
      <c r="S30" s="56">
        <f>G30*LOOKUP($A30,Barèmes!$A$65:$A$148,Barèmes!$AC$65:$AC$148)</f>
        <v>2292.4076697173059</v>
      </c>
      <c r="T30" s="56">
        <f>IF(AND($D30=0,Simulation!$D$14="Chômage",Simulation!$D$17="Oui",$B30&gt;=Simulation!$D$5,$B30&lt;Simulation!$D$6),IF($T29&lt;&gt;0,$T29,0),S30/LOOKUP($A30,Barèmes!$AB$65:$AB$148,Barèmes!$BA$65:$BA$148))</f>
        <v>102.77781029466277</v>
      </c>
      <c r="U30" s="181">
        <f>K30*LOOKUP($A30,Barèmes!$A$65:$A$148,Barèmes!$AF$65:$AF$148)</f>
        <v>0</v>
      </c>
      <c r="V30" s="56">
        <f>IF(AND($D30=0,Simulation!$D$14="Chômage",Simulation!$D$17="Oui",$B30&gt;=Simulation!$D$5,$B30&lt;Simulation!$D$6),IF($V29&lt;&gt;0,$V29,0),U30/LOOKUP($A30,Barèmes!$AB$65:$AB$148,Barèmes!$BA$65:$BA$148))</f>
        <v>0</v>
      </c>
      <c r="X30" s="80">
        <f>IF($B30=Simulation!$D$6,1,X31*(1+LOOKUP($A30,Barèmes!$A$65:$A$148,Barèmes!$T$65:$T$148)))</f>
        <v>1.8037245172886436</v>
      </c>
      <c r="Y30" s="358">
        <f t="shared" si="1"/>
        <v>66690.910302230302</v>
      </c>
      <c r="Z30" s="43">
        <f t="shared" si="2"/>
        <v>34</v>
      </c>
      <c r="AA30" s="56">
        <f>IF(AND($B30&gt;=Simulation!$D$5,$B30&lt;Simulation!$D$6),IF(AND(Simulation!$D$14="Enfants",Simulation!$D$10&gt;0,Simulation!$D$21="Oui",Info_cas_type!$H18=0),4,0),0)</f>
        <v>0</v>
      </c>
      <c r="AB30" s="56">
        <f>IF(AND(Simulation!$D$14="Chômage",Simulation!$D$18="Oui",$B30&gt;=Simulation!$D$5,$B30&lt;Simulation!$D$6,$C30=0),4,0)</f>
        <v>0</v>
      </c>
      <c r="AC30" s="81">
        <f>MIN(4,MIN($C30,LOOKUP($A30,Barèmes!$A$65:$A$148,Barèmes!$V$65:$V$148))/LOOKUP($A30,Barèmes!$A$65:$A$148,Barèmes!$S$65:$S$148))</f>
        <v>4</v>
      </c>
    </row>
    <row r="31" spans="1:30" x14ac:dyDescent="0.25">
      <c r="A31" s="15">
        <f>B31+Simulation!$D$4</f>
        <v>2031</v>
      </c>
      <c r="B31" s="273">
        <v>31</v>
      </c>
      <c r="C31" s="352">
        <f>Salaires!C21</f>
        <v>38676.619293091921</v>
      </c>
      <c r="D31" s="56">
        <f>IF(AND(Simulation!$D$10&gt;0,Simulation!$D$21="Oui",$B31&gt;=Simulation!$D$5,$B31&lt;Simulation!$D$6),IF($C31&gt;0,C31,LOOKUP($A31,Barèmes!$A$65:$A$148,Barèmes!$W$65:$W$148)),MIN($C31,LOOKUP($A31,Barèmes!$A$65:$A$148,Barèmes!$V$65:$V$148)))</f>
        <v>38676.619293091921</v>
      </c>
      <c r="E31" s="56"/>
      <c r="F31" s="63">
        <f>IF(Simulation!$D$44="Oui",IF(C31=0,0,MIN(1,MAX(0,(1.6*LOOKUP(A31,Barèmes!$A$65:$A$148,Barèmes!$F$65:$F$148)/C31-1)/0.6))),0)</f>
        <v>0</v>
      </c>
      <c r="G31" s="181">
        <f>Salaires!D21</f>
        <v>38676.619293091921</v>
      </c>
      <c r="H31" s="56">
        <f>G31*(LOOKUP($A31,Barèmes!$AB$65:$AB$148,Barèmes!$L$65:$L$148)*(1-F31)+LOOKUP($A31,Barèmes!$AB$65:$AB$148,Barèmes!$M$65:$M$148))</f>
        <v>6865.0999245238154</v>
      </c>
      <c r="I31" s="56">
        <f>G31*((IF($A31&gt;=2019,1-$F31,1))*(LOOKUP($A31,Barèmes!$A$65:$A$148,Barèmes!$AD$65:$AD$148)*LOOKUP($A31,Barèmes!$A$65:$A$148,Barèmes!$AI$65:$AI$148)+LOOKUP($A31,Barèmes!$A$65:$A$148,Barèmes!$AR$65:$AR$148)+IF(C31&gt;=LOOKUP($A31,Barèmes!$A$65:$A$148,Barèmes!$V$65:$V$148),LOOKUP($A31,Barèmes!$A$65:$A$148,Barèmes!$AM$65:$AM$148),0)))+G31*(LOOKUP($A31,Barèmes!$A$65:$A$148,Barèmes!$AE$65:$AE$148)*LOOKUP($A31,Barèmes!$A$65:$A$148,Barèmes!$AI$65:$AI$148)+LOOKUP($A31,Barèmes!$A$65:$A$148,Barèmes!$AS$65:$AS$148)+IF(C31&gt;=LOOKUP($A31,Barèmes!$A$65:$A$148,Barèmes!$V$65:$V$148),LOOKUP($A31,Barèmes!$A$65:$A$148,Barèmes!$AN$65:$AN$148),0))</f>
        <v>3876.9443179395339</v>
      </c>
      <c r="J31" s="220">
        <f>IF(AND($B31&gt;=Simulation!$D$5,$B31&lt;Simulation!$D$6,$I31=0,Simulation!$D$14="Chômage",Simulation!$D$17="Oui"),IF(G30&gt;0,G30*0.03,J30),0)</f>
        <v>0</v>
      </c>
      <c r="K31" s="181">
        <f>Salaires!F21</f>
        <v>0</v>
      </c>
      <c r="L31" s="56">
        <f>K31*(LOOKUP($A31,Barèmes!$AB$65:$AB$148,Barèmes!$O$65:$O$148)*(1-$F31)+LOOKUP($A31,Barèmes!$AB$65:$AB$148,Barèmes!$P$65:$P$148))</f>
        <v>0</v>
      </c>
      <c r="M31" s="56">
        <f>Salaires!E21</f>
        <v>0</v>
      </c>
      <c r="N31" s="56">
        <f>M31*((IF($A31&gt;=2019,1-$F31,1))*(LOOKUP($A31,Barèmes!$A$65:$A$148,Barèmes!$AG$65:$AG$148)*LOOKUP($A31,Barèmes!$A$65:$A$148,Barèmes!$AI$65:$AI$148)+LOOKUP($A31,Barèmes!$A$65:$A$148,Barèmes!$AW$65:$AW$148)+IF($C31&gt;=LOOKUP($A31,Barèmes!$A$65:$A$148,Barèmes!$V$65:$V$148),LOOKUP($A31,Barèmes!$A$65:$A$148,Barèmes!$AM$65:$AM$148),0)))+M31*(LOOKUP($A31,Barèmes!$A$65:$A$148,Barèmes!$AH$65:$AH$148)*LOOKUP($A31,Barèmes!$A$65:$A$148,Barèmes!$AI$65:$AI$148)+LOOKUP($A31,Barèmes!$A$65:$A$148,Barèmes!$AX$65:$AX$148)+IF($C31&gt;=LOOKUP($A31,Barèmes!$A$65:$A$148,Barèmes!$V$65:$V$148),LOOKUP($A31,Barèmes!$A$65:$A$148,Barèmes!$AN$65:$AN$148),0))</f>
        <v>0</v>
      </c>
      <c r="O31" s="56">
        <f>IF(AND($B31&gt;=Simulation!$D$5,$B31&lt;Simulation!$D$6,$N31=0,Simulation!$D$14="Chômage",Simulation!$D$17="Oui"),IF(M30&gt;0,M30*0.03,O30),0)</f>
        <v>0</v>
      </c>
      <c r="Q31" s="91">
        <f t="shared" si="0"/>
        <v>10742.044242463349</v>
      </c>
      <c r="R31" s="56"/>
      <c r="S31" s="56">
        <f>G31*LOOKUP($A31,Barèmes!$A$65:$A$148,Barèmes!$AC$65:$AC$148)</f>
        <v>2397.9503961716991</v>
      </c>
      <c r="T31" s="56">
        <f>IF(AND($D31=0,Simulation!$D$14="Chômage",Simulation!$D$17="Oui",$B31&gt;=Simulation!$D$5,$B31&lt;Simulation!$D$6),IF($T30&lt;&gt;0,$T30,0),S31/LOOKUP($A31,Barèmes!$AB$65:$AB$148,Barèmes!$BA$65:$BA$148))</f>
        <v>104.59158697121705</v>
      </c>
      <c r="U31" s="181">
        <f>K31*LOOKUP($A31,Barèmes!$A$65:$A$148,Barèmes!$AF$65:$AF$148)</f>
        <v>0</v>
      </c>
      <c r="V31" s="56">
        <f>IF(AND($D31=0,Simulation!$D$14="Chômage",Simulation!$D$17="Oui",$B31&gt;=Simulation!$D$5,$B31&lt;Simulation!$D$6),IF($V30&lt;&gt;0,$V30,0),U31/LOOKUP($A31,Barèmes!$AB$65:$AB$148,Barèmes!$BA$65:$BA$148))</f>
        <v>0</v>
      </c>
      <c r="X31" s="80">
        <f>IF($B31=Simulation!$D$6,1,X32*(1+LOOKUP($A31,Barèmes!$A$65:$A$148,Barèmes!$T$65:$T$148)))</f>
        <v>1.772702228293507</v>
      </c>
      <c r="Y31" s="358">
        <f t="shared" si="1"/>
        <v>68562.804083707975</v>
      </c>
      <c r="Z31" s="43">
        <f t="shared" si="2"/>
        <v>33</v>
      </c>
      <c r="AA31" s="56">
        <f>IF(AND($B31&gt;=Simulation!$D$5,$B31&lt;Simulation!$D$6),IF(AND(Simulation!$D$14="Enfants",Simulation!$D$10&gt;0,Simulation!$D$21="Oui",Info_cas_type!$H19=0),4,0),0)</f>
        <v>0</v>
      </c>
      <c r="AB31" s="56">
        <f>IF(AND(Simulation!$D$14="Chômage",Simulation!$D$18="Oui",$B31&gt;=Simulation!$D$5,$B31&lt;Simulation!$D$6,$C31=0),4,0)</f>
        <v>0</v>
      </c>
      <c r="AC31" s="81">
        <f>MIN(4,MIN($C31,LOOKUP($A31,Barèmes!$A$65:$A$148,Barèmes!$V$65:$V$148))/LOOKUP($A31,Barèmes!$A$65:$A$148,Barèmes!$S$65:$S$148))</f>
        <v>4</v>
      </c>
    </row>
    <row r="32" spans="1:30" x14ac:dyDescent="0.25">
      <c r="A32" s="15">
        <f>B32+Simulation!$D$4</f>
        <v>2032</v>
      </c>
      <c r="B32" s="273">
        <v>32</v>
      </c>
      <c r="C32" s="352">
        <f>Salaires!C22</f>
        <v>40930.176266069677</v>
      </c>
      <c r="D32" s="56">
        <f>IF(AND(Simulation!$D$10&gt;0,Simulation!$D$21="Oui",$B32&gt;=Simulation!$D$5,$B32&lt;Simulation!$D$6),IF($C32&gt;0,C32,LOOKUP($A32,Barèmes!$A$65:$A$148,Barèmes!$W$65:$W$148)),MIN($C32,LOOKUP($A32,Barèmes!$A$65:$A$148,Barèmes!$V$65:$V$148)))</f>
        <v>40930.176266069677</v>
      </c>
      <c r="E32" s="56"/>
      <c r="F32" s="63">
        <f>IF(Simulation!$D$44="Oui",IF(C32=0,0,MIN(1,MAX(0,(1.6*LOOKUP(A32,Barèmes!$A$65:$A$148,Barèmes!$F$65:$F$148)/C32-1)/0.6))),0)</f>
        <v>0</v>
      </c>
      <c r="G32" s="181">
        <f>Salaires!D22</f>
        <v>40930.176266069677</v>
      </c>
      <c r="H32" s="56">
        <f>G32*(LOOKUP($A32,Barèmes!$AB$65:$AB$148,Barèmes!$L$65:$L$148)*(1-F32)+LOOKUP($A32,Barèmes!$AB$65:$AB$148,Barèmes!$M$65:$M$148))</f>
        <v>7265.1062872273669</v>
      </c>
      <c r="I32" s="56">
        <f>G32*((IF($A32&gt;=2019,1-$F32,1))*(LOOKUP($A32,Barèmes!$A$65:$A$148,Barèmes!$AD$65:$AD$148)*LOOKUP($A32,Barèmes!$A$65:$A$148,Barèmes!$AI$65:$AI$148)+LOOKUP($A32,Barèmes!$A$65:$A$148,Barèmes!$AR$65:$AR$148)+IF(C32&gt;=LOOKUP($A32,Barèmes!$A$65:$A$148,Barèmes!$V$65:$V$148),LOOKUP($A32,Barèmes!$A$65:$A$148,Barèmes!$AM$65:$AM$148),0)))+G32*(LOOKUP($A32,Barèmes!$A$65:$A$148,Barèmes!$AE$65:$AE$148)*LOOKUP($A32,Barèmes!$A$65:$A$148,Barèmes!$AI$65:$AI$148)+LOOKUP($A32,Barèmes!$A$65:$A$148,Barèmes!$AS$65:$AS$148)+IF(C32&gt;=LOOKUP($A32,Barèmes!$A$65:$A$148,Barèmes!$V$65:$V$148),LOOKUP($A32,Barèmes!$A$65:$A$148,Barèmes!$AN$65:$AN$148),0))</f>
        <v>4102.8408689108246</v>
      </c>
      <c r="J32" s="220">
        <f>IF(AND($B32&gt;=Simulation!$D$5,$B32&lt;Simulation!$D$6,$I32=0,Simulation!$D$14="Chômage",Simulation!$D$17="Oui"),IF(G31&gt;0,G31*0.03,J31),0)</f>
        <v>0</v>
      </c>
      <c r="K32" s="181">
        <f>Salaires!F22</f>
        <v>0</v>
      </c>
      <c r="L32" s="56">
        <f>K32*(LOOKUP($A32,Barèmes!$AB$65:$AB$148,Barèmes!$O$65:$O$148)*(1-$F32)+LOOKUP($A32,Barèmes!$AB$65:$AB$148,Barèmes!$P$65:$P$148))</f>
        <v>0</v>
      </c>
      <c r="M32" s="56">
        <f>Salaires!E22</f>
        <v>0</v>
      </c>
      <c r="N32" s="56">
        <f>M32*((IF($A32&gt;=2019,1-$F32,1))*(LOOKUP($A32,Barèmes!$A$65:$A$148,Barèmes!$AG$65:$AG$148)*LOOKUP($A32,Barèmes!$A$65:$A$148,Barèmes!$AI$65:$AI$148)+LOOKUP($A32,Barèmes!$A$65:$A$148,Barèmes!$AW$65:$AW$148)+IF($C32&gt;=LOOKUP($A32,Barèmes!$A$65:$A$148,Barèmes!$V$65:$V$148),LOOKUP($A32,Barèmes!$A$65:$A$148,Barèmes!$AM$65:$AM$148),0)))+M32*(LOOKUP($A32,Barèmes!$A$65:$A$148,Barèmes!$AH$65:$AH$148)*LOOKUP($A32,Barèmes!$A$65:$A$148,Barèmes!$AI$65:$AI$148)+LOOKUP($A32,Barèmes!$A$65:$A$148,Barèmes!$AX$65:$AX$148)+IF($C32&gt;=LOOKUP($A32,Barèmes!$A$65:$A$148,Barèmes!$V$65:$V$148),LOOKUP($A32,Barèmes!$A$65:$A$148,Barèmes!$AN$65:$AN$148),0))</f>
        <v>0</v>
      </c>
      <c r="O32" s="56">
        <f>IF(AND($B32&gt;=Simulation!$D$5,$B32&lt;Simulation!$D$6,$N32=0,Simulation!$D$14="Chômage",Simulation!$D$17="Oui"),IF(M31&gt;0,M31*0.03,O31),0)</f>
        <v>0</v>
      </c>
      <c r="Q32" s="91">
        <f t="shared" si="0"/>
        <v>11367.947156138191</v>
      </c>
      <c r="R32" s="56"/>
      <c r="S32" s="56">
        <f>G32*LOOKUP($A32,Barèmes!$A$65:$A$148,Barèmes!$AC$65:$AC$148)</f>
        <v>2537.6709284963199</v>
      </c>
      <c r="T32" s="56">
        <f>IF(AND($D32=0,Simulation!$D$14="Chômage",Simulation!$D$17="Oui",$B32&gt;=Simulation!$D$5,$B32&lt;Simulation!$D$6),IF($T31&lt;&gt;0,$T31,0),S32/LOOKUP($A32,Barèmes!$AB$65:$AB$148,Barèmes!$BA$65:$BA$148))</f>
        <v>107.51430653161322</v>
      </c>
      <c r="U32" s="181">
        <f>K32*LOOKUP($A32,Barèmes!$A$65:$A$148,Barèmes!$AF$65:$AF$148)</f>
        <v>0</v>
      </c>
      <c r="V32" s="56">
        <f>IF(AND($D32=0,Simulation!$D$14="Chômage",Simulation!$D$17="Oui",$B32&gt;=Simulation!$D$5,$B32&lt;Simulation!$D$6),IF($V31&lt;&gt;0,$V31,0),U32/LOOKUP($A32,Barèmes!$AB$65:$AB$148,Barèmes!$BA$65:$BA$148))</f>
        <v>0</v>
      </c>
      <c r="X32" s="80">
        <f>IF($B32=Simulation!$D$6,1,X33*(1+LOOKUP($A32,Barèmes!$A$65:$A$148,Barèmes!$T$65:$T$148)))</f>
        <v>1.7422134921803507</v>
      </c>
      <c r="Y32" s="358">
        <f t="shared" si="1"/>
        <v>71308.798234941758</v>
      </c>
      <c r="Z32" s="43">
        <f t="shared" si="2"/>
        <v>32</v>
      </c>
      <c r="AA32" s="56">
        <f>IF(AND($B32&gt;=Simulation!$D$5,$B32&lt;Simulation!$D$6),IF(AND(Simulation!$D$14="Enfants",Simulation!$D$10&gt;0,Simulation!$D$21="Oui",Info_cas_type!$H20=0),4,0),0)</f>
        <v>0</v>
      </c>
      <c r="AB32" s="56">
        <f>IF(AND(Simulation!$D$14="Chômage",Simulation!$D$18="Oui",$B32&gt;=Simulation!$D$5,$B32&lt;Simulation!$D$6,$C32=0),4,0)</f>
        <v>0</v>
      </c>
      <c r="AC32" s="81">
        <f>MIN(4,MIN($C32,LOOKUP($A32,Barèmes!$A$65:$A$148,Barèmes!$V$65:$V$148))/LOOKUP($A32,Barèmes!$A$65:$A$148,Barèmes!$S$65:$S$148))</f>
        <v>4</v>
      </c>
    </row>
    <row r="33" spans="1:29" x14ac:dyDescent="0.25">
      <c r="A33" s="15">
        <f>B33+Simulation!$D$4</f>
        <v>2033</v>
      </c>
      <c r="B33" s="273">
        <v>33</v>
      </c>
      <c r="C33" s="352">
        <f>Salaires!C23</f>
        <v>43509.933574517556</v>
      </c>
      <c r="D33" s="56">
        <f>IF(AND(Simulation!$D$10&gt;0,Simulation!$D$21="Oui",$B33&gt;=Simulation!$D$5,$B33&lt;Simulation!$D$6),IF($C33&gt;0,C33,LOOKUP($A33,Barèmes!$A$65:$A$148,Barèmes!$W$65:$W$148)),MIN($C33,LOOKUP($A33,Barèmes!$A$65:$A$148,Barèmes!$V$65:$V$148)))</f>
        <v>43509.933574517556</v>
      </c>
      <c r="E33" s="56"/>
      <c r="F33" s="63">
        <f>IF(Simulation!$D$44="Oui",IF(C33=0,0,MIN(1,MAX(0,(1.6*LOOKUP(A33,Barèmes!$A$65:$A$148,Barèmes!$F$65:$F$148)/C33-1)/0.6))),0)</f>
        <v>0</v>
      </c>
      <c r="G33" s="181">
        <f>Salaires!D23</f>
        <v>43509.933574517556</v>
      </c>
      <c r="H33" s="56">
        <f>G33*(LOOKUP($A33,Barèmes!$AB$65:$AB$148,Barèmes!$L$65:$L$148)*(1-F33)+LOOKUP($A33,Barèmes!$AB$65:$AB$148,Barèmes!$M$65:$M$148))</f>
        <v>7723.013209476866</v>
      </c>
      <c r="I33" s="56">
        <f>G33*((IF($A33&gt;=2019,1-$F33,1))*(LOOKUP($A33,Barèmes!$A$65:$A$148,Barèmes!$AD$65:$AD$148)*LOOKUP($A33,Barèmes!$A$65:$A$148,Barèmes!$AI$65:$AI$148)+LOOKUP($A33,Barèmes!$A$65:$A$148,Barèmes!$AR$65:$AR$148)+IF(C33&gt;=LOOKUP($A33,Barèmes!$A$65:$A$148,Barèmes!$V$65:$V$148),LOOKUP($A33,Barèmes!$A$65:$A$148,Barèmes!$AM$65:$AM$148),0)))+G33*(LOOKUP($A33,Barèmes!$A$65:$A$148,Barèmes!$AE$65:$AE$148)*LOOKUP($A33,Barèmes!$A$65:$A$148,Barèmes!$AI$65:$AI$148)+LOOKUP($A33,Barèmes!$A$65:$A$148,Barèmes!$AS$65:$AS$148)+IF(C33&gt;=LOOKUP($A33,Barèmes!$A$65:$A$148,Barèmes!$V$65:$V$148),LOOKUP($A33,Barèmes!$A$65:$A$148,Barèmes!$AN$65:$AN$148),0))</f>
        <v>4361.4357415096401</v>
      </c>
      <c r="J33" s="220">
        <f>IF(AND($B33&gt;=Simulation!$D$5,$B33&lt;Simulation!$D$6,$I33=0,Simulation!$D$14="Chômage",Simulation!$D$17="Oui"),IF(G32&gt;0,G32*0.03,J32),0)</f>
        <v>0</v>
      </c>
      <c r="K33" s="181">
        <f>Salaires!F23</f>
        <v>0</v>
      </c>
      <c r="L33" s="56">
        <f>K33*(LOOKUP($A33,Barèmes!$AB$65:$AB$148,Barèmes!$O$65:$O$148)*(1-$F33)+LOOKUP($A33,Barèmes!$AB$65:$AB$148,Barèmes!$P$65:$P$148))</f>
        <v>0</v>
      </c>
      <c r="M33" s="56">
        <f>Salaires!E23</f>
        <v>0</v>
      </c>
      <c r="N33" s="56">
        <f>M33*((IF($A33&gt;=2019,1-$F33,1))*(LOOKUP($A33,Barèmes!$A$65:$A$148,Barèmes!$AG$65:$AG$148)*LOOKUP($A33,Barèmes!$A$65:$A$148,Barèmes!$AI$65:$AI$148)+LOOKUP($A33,Barèmes!$A$65:$A$148,Barèmes!$AW$65:$AW$148)+IF($C33&gt;=LOOKUP($A33,Barèmes!$A$65:$A$148,Barèmes!$V$65:$V$148),LOOKUP($A33,Barèmes!$A$65:$A$148,Barèmes!$AM$65:$AM$148),0)))+M33*(LOOKUP($A33,Barèmes!$A$65:$A$148,Barèmes!$AH$65:$AH$148)*LOOKUP($A33,Barèmes!$A$65:$A$148,Barèmes!$AI$65:$AI$148)+LOOKUP($A33,Barèmes!$A$65:$A$148,Barèmes!$AX$65:$AX$148)+IF($C33&gt;=LOOKUP($A33,Barèmes!$A$65:$A$148,Barèmes!$V$65:$V$148),LOOKUP($A33,Barèmes!$A$65:$A$148,Barèmes!$AN$65:$AN$148),0))</f>
        <v>0</v>
      </c>
      <c r="O33" s="56">
        <f>IF(AND($B33&gt;=Simulation!$D$5,$B33&lt;Simulation!$D$6,$N33=0,Simulation!$D$14="Chômage",Simulation!$D$17="Oui"),IF(M32&gt;0,M32*0.03,O32),0)</f>
        <v>0</v>
      </c>
      <c r="Q33" s="91">
        <f t="shared" si="0"/>
        <v>12084.448950986505</v>
      </c>
      <c r="R33" s="56"/>
      <c r="S33" s="56">
        <f>G33*LOOKUP($A33,Barèmes!$A$65:$A$148,Barèmes!$AC$65:$AC$148)</f>
        <v>2697.6158816200887</v>
      </c>
      <c r="T33" s="56">
        <f>IF(AND($D33=0,Simulation!$D$14="Chômage",Simulation!$D$17="Oui",$B33&gt;=Simulation!$D$5,$B33&lt;Simulation!$D$6),IF($T32&lt;&gt;0,$T32,0),S33/LOOKUP($A33,Barèmes!$AB$65:$AB$148,Barèmes!$BA$65:$BA$148))</f>
        <v>110.92945977391877</v>
      </c>
      <c r="U33" s="181">
        <f>K33*LOOKUP($A33,Barèmes!$A$65:$A$148,Barèmes!$AF$65:$AF$148)</f>
        <v>0</v>
      </c>
      <c r="V33" s="56">
        <f>IF(AND($D33=0,Simulation!$D$14="Chômage",Simulation!$D$17="Oui",$B33&gt;=Simulation!$D$5,$B33&lt;Simulation!$D$6),IF($V32&lt;&gt;0,$V32,0),U33/LOOKUP($A33,Barèmes!$AB$65:$AB$148,Barèmes!$BA$65:$BA$148))</f>
        <v>0</v>
      </c>
      <c r="X33" s="80">
        <f>IF($B33=Simulation!$D$6,1,X34*(1+LOOKUP($A33,Barèmes!$A$65:$A$148,Barèmes!$T$65:$T$148)))</f>
        <v>1.712249132363981</v>
      </c>
      <c r="Y33" s="358">
        <f t="shared" si="1"/>
        <v>74499.959749156813</v>
      </c>
      <c r="Z33" s="43">
        <f t="shared" si="2"/>
        <v>31</v>
      </c>
      <c r="AA33" s="56">
        <f>IF(AND($B33&gt;=Simulation!$D$5,$B33&lt;Simulation!$D$6),IF(AND(Simulation!$D$14="Enfants",Simulation!$D$10&gt;0,Simulation!$D$21="Oui",Info_cas_type!$H21=0),4,0),0)</f>
        <v>0</v>
      </c>
      <c r="AB33" s="56">
        <f>IF(AND(Simulation!$D$14="Chômage",Simulation!$D$18="Oui",$B33&gt;=Simulation!$D$5,$B33&lt;Simulation!$D$6,$C33=0),4,0)</f>
        <v>0</v>
      </c>
      <c r="AC33" s="81">
        <f>MIN(4,MIN($C33,LOOKUP($A33,Barèmes!$A$65:$A$148,Barèmes!$V$65:$V$148))/LOOKUP($A33,Barèmes!$A$65:$A$148,Barèmes!$S$65:$S$148))</f>
        <v>4</v>
      </c>
    </row>
    <row r="34" spans="1:29" x14ac:dyDescent="0.25">
      <c r="A34" s="15">
        <f>B34+Simulation!$D$4</f>
        <v>2034</v>
      </c>
      <c r="B34" s="273">
        <v>34</v>
      </c>
      <c r="C34" s="352">
        <f>Salaires!C24</f>
        <v>46425.478672790596</v>
      </c>
      <c r="D34" s="56">
        <f>IF(AND(Simulation!$D$10&gt;0,Simulation!$D$21="Oui",$B34&gt;=Simulation!$D$5,$B34&lt;Simulation!$D$6),IF($C34&gt;0,C34,LOOKUP($A34,Barèmes!$A$65:$A$148,Barèmes!$W$65:$W$148)),MIN($C34,LOOKUP($A34,Barèmes!$A$65:$A$148,Barèmes!$V$65:$V$148)))</f>
        <v>46425.478672790596</v>
      </c>
      <c r="E34" s="56"/>
      <c r="F34" s="63">
        <f>IF(Simulation!$D$44="Oui",IF(C34=0,0,MIN(1,MAX(0,(1.6*LOOKUP(A34,Barèmes!$A$65:$A$148,Barèmes!$F$65:$F$148)/C34-1)/0.6))),0)</f>
        <v>0</v>
      </c>
      <c r="G34" s="181">
        <f>Salaires!D24</f>
        <v>46425.478672790596</v>
      </c>
      <c r="H34" s="56">
        <f>G34*(LOOKUP($A34,Barèmes!$AB$65:$AB$148,Barèmes!$L$65:$L$148)*(1-F34)+LOOKUP($A34,Barèmes!$AB$65:$AB$148,Barèmes!$M$65:$M$148))</f>
        <v>8240.5224644203299</v>
      </c>
      <c r="I34" s="56">
        <f>G34*((IF($A34&gt;=2019,1-$F34,1))*(LOOKUP($A34,Barèmes!$A$65:$A$148,Barèmes!$AD$65:$AD$148)*LOOKUP($A34,Barèmes!$A$65:$A$148,Barèmes!$AI$65:$AI$148)+LOOKUP($A34,Barèmes!$A$65:$A$148,Barèmes!$AR$65:$AR$148)+IF(C34&gt;=LOOKUP($A34,Barèmes!$A$65:$A$148,Barèmes!$V$65:$V$148),LOOKUP($A34,Barèmes!$A$65:$A$148,Barèmes!$AM$65:$AM$148),0)))+G34*(LOOKUP($A34,Barèmes!$A$65:$A$148,Barèmes!$AE$65:$AE$148)*LOOKUP($A34,Barèmes!$A$65:$A$148,Barèmes!$AI$65:$AI$148)+LOOKUP($A34,Barèmes!$A$65:$A$148,Barèmes!$AS$65:$AS$148)+IF(C34&gt;=LOOKUP($A34,Barèmes!$A$65:$A$148,Barèmes!$V$65:$V$148),LOOKUP($A34,Barèmes!$A$65:$A$148,Barèmes!$AN$65:$AN$148),0))</f>
        <v>4653.6899821605293</v>
      </c>
      <c r="J34" s="220">
        <f>IF(AND($B34&gt;=Simulation!$D$5,$B34&lt;Simulation!$D$6,$I34=0,Simulation!$D$14="Chômage",Simulation!$D$17="Oui"),IF(G33&gt;0,G33*0.03,J33),0)</f>
        <v>0</v>
      </c>
      <c r="K34" s="181">
        <f>Salaires!F24</f>
        <v>0</v>
      </c>
      <c r="L34" s="56">
        <f>K34*(LOOKUP($A34,Barèmes!$AB$65:$AB$148,Barèmes!$O$65:$O$148)*(1-$F34)+LOOKUP($A34,Barèmes!$AB$65:$AB$148,Barèmes!$P$65:$P$148))</f>
        <v>0</v>
      </c>
      <c r="M34" s="56">
        <f>Salaires!E24</f>
        <v>0</v>
      </c>
      <c r="N34" s="56">
        <f>M34*((IF($A34&gt;=2019,1-$F34,1))*(LOOKUP($A34,Barèmes!$A$65:$A$148,Barèmes!$AG$65:$AG$148)*LOOKUP($A34,Barèmes!$A$65:$A$148,Barèmes!$AI$65:$AI$148)+LOOKUP($A34,Barèmes!$A$65:$A$148,Barèmes!$AW$65:$AW$148)+IF($C34&gt;=LOOKUP($A34,Barèmes!$A$65:$A$148,Barèmes!$V$65:$V$148),LOOKUP($A34,Barèmes!$A$65:$A$148,Barèmes!$AM$65:$AM$148),0)))+M34*(LOOKUP($A34,Barèmes!$A$65:$A$148,Barèmes!$AH$65:$AH$148)*LOOKUP($A34,Barèmes!$A$65:$A$148,Barèmes!$AI$65:$AI$148)+LOOKUP($A34,Barèmes!$A$65:$A$148,Barèmes!$AX$65:$AX$148)+IF($C34&gt;=LOOKUP($A34,Barèmes!$A$65:$A$148,Barèmes!$V$65:$V$148),LOOKUP($A34,Barèmes!$A$65:$A$148,Barèmes!$AN$65:$AN$148),0))</f>
        <v>0</v>
      </c>
      <c r="O34" s="56">
        <f>IF(AND($B34&gt;=Simulation!$D$5,$B34&lt;Simulation!$D$6,$N34=0,Simulation!$D$14="Chômage",Simulation!$D$17="Oui"),IF(M33&gt;0,M33*0.03,O33),0)</f>
        <v>0</v>
      </c>
      <c r="Q34" s="91">
        <f t="shared" si="0"/>
        <v>12894.212446580859</v>
      </c>
      <c r="R34" s="56"/>
      <c r="S34" s="56">
        <f>G34*LOOKUP($A34,Barèmes!$A$65:$A$148,Barèmes!$AC$65:$AC$148)</f>
        <v>2878.3796777130169</v>
      </c>
      <c r="T34" s="56">
        <f>IF(AND($D34=0,Simulation!$D$14="Chômage",Simulation!$D$17="Oui",$B34&gt;=Simulation!$D$5,$B34&lt;Simulation!$D$6),IF($T33&lt;&gt;0,$T33,0),S34/LOOKUP($A34,Barèmes!$AB$65:$AB$148,Barèmes!$BA$65:$BA$148))</f>
        <v>116.18972505310263</v>
      </c>
      <c r="U34" s="181">
        <f>K34*LOOKUP($A34,Barèmes!$A$65:$A$148,Barèmes!$AF$65:$AF$148)</f>
        <v>0</v>
      </c>
      <c r="V34" s="56">
        <f>IF(AND($D34=0,Simulation!$D$14="Chômage",Simulation!$D$17="Oui",$B34&gt;=Simulation!$D$5,$B34&lt;Simulation!$D$6),IF($V33&lt;&gt;0,$V33,0),U34/LOOKUP($A34,Barèmes!$AB$65:$AB$148,Barèmes!$BA$65:$BA$148))</f>
        <v>0</v>
      </c>
      <c r="X34" s="80">
        <f>IF($B34=Simulation!$D$6,1,X35*(1+LOOKUP($A34,Barèmes!$A$65:$A$148,Barèmes!$T$65:$T$148)))</f>
        <v>1.6828001300874504</v>
      </c>
      <c r="Y34" s="358">
        <f t="shared" si="1"/>
        <v>78123.996039309888</v>
      </c>
      <c r="Z34" s="43">
        <f t="shared" si="2"/>
        <v>30</v>
      </c>
      <c r="AA34" s="56">
        <f>IF(AND($B34&gt;=Simulation!$D$5,$B34&lt;Simulation!$D$6),IF(AND(Simulation!$D$14="Enfants",Simulation!$D$10&gt;0,Simulation!$D$21="Oui",Info_cas_type!$H22=0),4,0),0)</f>
        <v>0</v>
      </c>
      <c r="AB34" s="56">
        <f>IF(AND(Simulation!$D$14="Chômage",Simulation!$D$18="Oui",$B34&gt;=Simulation!$D$5,$B34&lt;Simulation!$D$6,$C34=0),4,0)</f>
        <v>0</v>
      </c>
      <c r="AC34" s="81">
        <f>MIN(4,MIN($C34,LOOKUP($A34,Barèmes!$A$65:$A$148,Barèmes!$V$65:$V$148))/LOOKUP($A34,Barèmes!$A$65:$A$148,Barèmes!$S$65:$S$148))</f>
        <v>4</v>
      </c>
    </row>
    <row r="35" spans="1:29" x14ac:dyDescent="0.25">
      <c r="A35" s="15">
        <f>B35+Simulation!$D$4</f>
        <v>2035</v>
      </c>
      <c r="B35" s="273">
        <v>35</v>
      </c>
      <c r="C35" s="352">
        <f>Salaires!C25</f>
        <v>49052.418669110222</v>
      </c>
      <c r="D35" s="56">
        <f>IF(AND(Simulation!$D$10&gt;0,Simulation!$D$21="Oui",$B35&gt;=Simulation!$D$5,$B35&lt;Simulation!$D$6),IF($C35&gt;0,C35,LOOKUP($A35,Barèmes!$A$65:$A$148,Barèmes!$W$65:$W$148)),MIN($C35,LOOKUP($A35,Barèmes!$A$65:$A$148,Barèmes!$V$65:$V$148)))</f>
        <v>49052.418669110222</v>
      </c>
      <c r="E35" s="56"/>
      <c r="F35" s="63">
        <f>IF(Simulation!$D$44="Oui",IF(C35=0,0,MIN(1,MAX(0,(1.6*LOOKUP(A35,Barèmes!$A$65:$A$148,Barèmes!$F$65:$F$148)/C35-1)/0.6))),0)</f>
        <v>0</v>
      </c>
      <c r="G35" s="181">
        <f>Salaires!D25</f>
        <v>49052.418669110222</v>
      </c>
      <c r="H35" s="56">
        <f>G35*(LOOKUP($A35,Barèmes!$AB$65:$AB$148,Barèmes!$L$65:$L$148)*(1-F35)+LOOKUP($A35,Barèmes!$AB$65:$AB$148,Barèmes!$M$65:$M$148))</f>
        <v>8706.8043137670647</v>
      </c>
      <c r="I35" s="56">
        <f>G35*((IF($A35&gt;=2019,1-$F35,1))*(LOOKUP($A35,Barèmes!$A$65:$A$148,Barèmes!$AD$65:$AD$148)*LOOKUP($A35,Barèmes!$A$65:$A$148,Barèmes!$AI$65:$AI$148)+LOOKUP($A35,Barèmes!$A$65:$A$148,Barèmes!$AR$65:$AR$148)+IF(C35&gt;=LOOKUP($A35,Barèmes!$A$65:$A$148,Barèmes!$V$65:$V$148),LOOKUP($A35,Barèmes!$A$65:$A$148,Barèmes!$AM$65:$AM$148),0)))+G35*(LOOKUP($A35,Barèmes!$A$65:$A$148,Barèmes!$AE$65:$AE$148)*LOOKUP($A35,Barèmes!$A$65:$A$148,Barèmes!$AI$65:$AI$148)+LOOKUP($A35,Barèmes!$A$65:$A$148,Barèmes!$AS$65:$AS$148)+IF(C35&gt;=LOOKUP($A35,Barèmes!$A$65:$A$148,Barèmes!$V$65:$V$148),LOOKUP($A35,Barèmes!$A$65:$A$148,Barèmes!$AN$65:$AN$148),0))</f>
        <v>4917.0144473916089</v>
      </c>
      <c r="J35" s="220">
        <f>IF(AND($B35&gt;=Simulation!$D$5,$B35&lt;Simulation!$D$6,$I35=0,Simulation!$D$14="Chômage",Simulation!$D$17="Oui"),IF(G34&gt;0,G34*0.03,J34),0)</f>
        <v>0</v>
      </c>
      <c r="K35" s="181">
        <f>Salaires!F25</f>
        <v>0</v>
      </c>
      <c r="L35" s="56">
        <f>K35*(LOOKUP($A35,Barèmes!$AB$65:$AB$148,Barèmes!$O$65:$O$148)*(1-$F35)+LOOKUP($A35,Barèmes!$AB$65:$AB$148,Barèmes!$P$65:$P$148))</f>
        <v>0</v>
      </c>
      <c r="M35" s="56">
        <f>Salaires!E25</f>
        <v>0</v>
      </c>
      <c r="N35" s="56">
        <f>M35*((IF($A35&gt;=2019,1-$F35,1))*(LOOKUP($A35,Barèmes!$A$65:$A$148,Barèmes!$AG$65:$AG$148)*LOOKUP($A35,Barèmes!$A$65:$A$148,Barèmes!$AI$65:$AI$148)+LOOKUP($A35,Barèmes!$A$65:$A$148,Barèmes!$AW$65:$AW$148)+IF($C35&gt;=LOOKUP($A35,Barèmes!$A$65:$A$148,Barèmes!$V$65:$V$148),LOOKUP($A35,Barèmes!$A$65:$A$148,Barèmes!$AM$65:$AM$148),0)))+M35*(LOOKUP($A35,Barèmes!$A$65:$A$148,Barèmes!$AH$65:$AH$148)*LOOKUP($A35,Barèmes!$A$65:$A$148,Barèmes!$AI$65:$AI$148)+LOOKUP($A35,Barèmes!$A$65:$A$148,Barèmes!$AX$65:$AX$148)+IF($C35&gt;=LOOKUP($A35,Barèmes!$A$65:$A$148,Barèmes!$V$65:$V$148),LOOKUP($A35,Barèmes!$A$65:$A$148,Barèmes!$AN$65:$AN$148),0))</f>
        <v>0</v>
      </c>
      <c r="O35" s="56">
        <f>IF(AND($B35&gt;=Simulation!$D$5,$B35&lt;Simulation!$D$6,$N35=0,Simulation!$D$14="Chômage",Simulation!$D$17="Oui"),IF(M34&gt;0,M34*0.03,O34),0)</f>
        <v>0</v>
      </c>
      <c r="Q35" s="91">
        <f t="shared" si="0"/>
        <v>13623.818761158673</v>
      </c>
      <c r="R35" s="56"/>
      <c r="S35" s="56">
        <f>G35*LOOKUP($A35,Barèmes!$A$65:$A$148,Barèmes!$AC$65:$AC$148)</f>
        <v>3041.2499574848339</v>
      </c>
      <c r="T35" s="56">
        <f>IF(AND($D35=0,Simulation!$D$14="Chômage",Simulation!$D$17="Oui",$B35&gt;=Simulation!$D$5,$B35&lt;Simulation!$D$6),IF($T34&lt;&gt;0,$T34,0),S35/LOOKUP($A35,Barèmes!$AB$65:$AB$148,Barèmes!$BA$65:$BA$148))</f>
        <v>120.49899192849239</v>
      </c>
      <c r="U35" s="181">
        <f>K35*LOOKUP($A35,Barèmes!$A$65:$A$148,Barèmes!$AF$65:$AF$148)</f>
        <v>0</v>
      </c>
      <c r="V35" s="56">
        <f>IF(AND($D35=0,Simulation!$D$14="Chômage",Simulation!$D$17="Oui",$B35&gt;=Simulation!$D$5,$B35&lt;Simulation!$D$6),IF($V34&lt;&gt;0,$V34,0),U35/LOOKUP($A35,Barèmes!$AB$65:$AB$148,Barèmes!$BA$65:$BA$148))</f>
        <v>0</v>
      </c>
      <c r="X35" s="80">
        <f>IF($B35=Simulation!$D$6,1,X36*(1+LOOKUP($A35,Barèmes!$A$65:$A$148,Barèmes!$T$65:$T$148)))</f>
        <v>1.6538576217075678</v>
      </c>
      <c r="Y35" s="358">
        <f t="shared" si="1"/>
        <v>81125.024059999618</v>
      </c>
      <c r="Z35" s="43">
        <f t="shared" si="2"/>
        <v>29</v>
      </c>
      <c r="AA35" s="56">
        <f>IF(AND($B35&gt;=Simulation!$D$5,$B35&lt;Simulation!$D$6),IF(AND(Simulation!$D$14="Enfants",Simulation!$D$10&gt;0,Simulation!$D$21="Oui",Info_cas_type!$H23=0),4,0),0)</f>
        <v>0</v>
      </c>
      <c r="AB35" s="56">
        <f>IF(AND(Simulation!$D$14="Chômage",Simulation!$D$18="Oui",$B35&gt;=Simulation!$D$5,$B35&lt;Simulation!$D$6,$C35=0),4,0)</f>
        <v>0</v>
      </c>
      <c r="AC35" s="81">
        <f>MIN(4,MIN($C35,LOOKUP($A35,Barèmes!$A$65:$A$148,Barèmes!$V$65:$V$148))/LOOKUP($A35,Barèmes!$A$65:$A$148,Barèmes!$S$65:$S$148))</f>
        <v>4</v>
      </c>
    </row>
    <row r="36" spans="1:29" x14ac:dyDescent="0.25">
      <c r="A36" s="15">
        <f>B36+Simulation!$D$4</f>
        <v>2036</v>
      </c>
      <c r="B36" s="273">
        <v>36</v>
      </c>
      <c r="C36" s="352">
        <f>Salaires!C26</f>
        <v>50869.875659975143</v>
      </c>
      <c r="D36" s="56">
        <f>IF(AND(Simulation!$D$10&gt;0,Simulation!$D$21="Oui",$B36&gt;=Simulation!$D$5,$B36&lt;Simulation!$D$6),IF($C36&gt;0,C36,LOOKUP($A36,Barèmes!$A$65:$A$148,Barèmes!$W$65:$W$148)),MIN($C36,LOOKUP($A36,Barèmes!$A$65:$A$148,Barèmes!$V$65:$V$148)))</f>
        <v>50869.875659975143</v>
      </c>
      <c r="E36" s="56"/>
      <c r="F36" s="63">
        <f>IF(Simulation!$D$44="Oui",IF(C36=0,0,MIN(1,MAX(0,(1.6*LOOKUP(A36,Barèmes!$A$65:$A$148,Barèmes!$F$65:$F$148)/C36-1)/0.6))),0)</f>
        <v>0</v>
      </c>
      <c r="G36" s="181">
        <f>Salaires!D26</f>
        <v>50869.875659975143</v>
      </c>
      <c r="H36" s="56">
        <f>G36*(LOOKUP($A36,Barèmes!$AB$65:$AB$148,Barèmes!$L$65:$L$148)*(1-F36)+LOOKUP($A36,Barèmes!$AB$65:$AB$148,Barèmes!$M$65:$M$148))</f>
        <v>9029.4029296455883</v>
      </c>
      <c r="I36" s="56">
        <f>G36*((IF($A36&gt;=2019,1-$F36,1))*(LOOKUP($A36,Barèmes!$A$65:$A$148,Barèmes!$AD$65:$AD$148)*LOOKUP($A36,Barèmes!$A$65:$A$148,Barèmes!$AI$65:$AI$148)+LOOKUP($A36,Barèmes!$A$65:$A$148,Barèmes!$AR$65:$AR$148)+IF(C36&gt;=LOOKUP($A36,Barèmes!$A$65:$A$148,Barèmes!$V$65:$V$148),LOOKUP($A36,Barèmes!$A$65:$A$148,Barèmes!$AM$65:$AM$148),0)))+G36*(LOOKUP($A36,Barèmes!$A$65:$A$148,Barèmes!$AE$65:$AE$148)*LOOKUP($A36,Barèmes!$A$65:$A$148,Barèmes!$AI$65:$AI$148)+LOOKUP($A36,Barèmes!$A$65:$A$148,Barèmes!$AS$65:$AS$148)+IF(C36&gt;=LOOKUP($A36,Barèmes!$A$65:$A$148,Barèmes!$V$65:$V$148),LOOKUP($A36,Barèmes!$A$65:$A$148,Barèmes!$AN$65:$AN$148),0))</f>
        <v>5099.1963361559083</v>
      </c>
      <c r="J36" s="220">
        <f>IF(AND($B36&gt;=Simulation!$D$5,$B36&lt;Simulation!$D$6,$I36=0,Simulation!$D$14="Chômage",Simulation!$D$17="Oui"),IF(G35&gt;0,G35*0.03,J35),0)</f>
        <v>0</v>
      </c>
      <c r="K36" s="181">
        <f>Salaires!F26</f>
        <v>0</v>
      </c>
      <c r="L36" s="56">
        <f>K36*(LOOKUP($A36,Barèmes!$AB$65:$AB$148,Barèmes!$O$65:$O$148)*(1-$F36)+LOOKUP($A36,Barèmes!$AB$65:$AB$148,Barèmes!$P$65:$P$148))</f>
        <v>0</v>
      </c>
      <c r="M36" s="56">
        <f>Salaires!E26</f>
        <v>0</v>
      </c>
      <c r="N36" s="56">
        <f>M36*((IF($A36&gt;=2019,1-$F36,1))*(LOOKUP($A36,Barèmes!$A$65:$A$148,Barèmes!$AG$65:$AG$148)*LOOKUP($A36,Barèmes!$A$65:$A$148,Barèmes!$AI$65:$AI$148)+LOOKUP($A36,Barèmes!$A$65:$A$148,Barèmes!$AW$65:$AW$148)+IF($C36&gt;=LOOKUP($A36,Barèmes!$A$65:$A$148,Barèmes!$V$65:$V$148),LOOKUP($A36,Barèmes!$A$65:$A$148,Barèmes!$AM$65:$AM$148),0)))+M36*(LOOKUP($A36,Barèmes!$A$65:$A$148,Barèmes!$AH$65:$AH$148)*LOOKUP($A36,Barèmes!$A$65:$A$148,Barèmes!$AI$65:$AI$148)+LOOKUP($A36,Barèmes!$A$65:$A$148,Barèmes!$AX$65:$AX$148)+IF($C36&gt;=LOOKUP($A36,Barèmes!$A$65:$A$148,Barèmes!$V$65:$V$148),LOOKUP($A36,Barèmes!$A$65:$A$148,Barèmes!$AN$65:$AN$148),0))</f>
        <v>0</v>
      </c>
      <c r="O36" s="56">
        <f>IF(AND($B36&gt;=Simulation!$D$5,$B36&lt;Simulation!$D$6,$N36=0,Simulation!$D$14="Chômage",Simulation!$D$17="Oui"),IF(M35&gt;0,M35*0.03,O35),0)</f>
        <v>0</v>
      </c>
      <c r="Q36" s="91">
        <f t="shared" si="0"/>
        <v>14128.599265801497</v>
      </c>
      <c r="R36" s="56"/>
      <c r="S36" s="56">
        <f>G36*LOOKUP($A36,Barèmes!$A$65:$A$148,Barèmes!$AC$65:$AC$148)</f>
        <v>3153.9322909184589</v>
      </c>
      <c r="T36" s="56">
        <f>IF(AND($D36=0,Simulation!$D$14="Chômage",Simulation!$D$17="Oui",$B36&gt;=Simulation!$D$5,$B36&lt;Simulation!$D$6),IF($T35&lt;&gt;0,$T35,0),S36/LOOKUP($A36,Barèmes!$AB$65:$AB$148,Barèmes!$BA$65:$BA$148))</f>
        <v>122.6576243002049</v>
      </c>
      <c r="U36" s="181">
        <f>K36*LOOKUP($A36,Barèmes!$A$65:$A$148,Barèmes!$AF$65:$AF$148)</f>
        <v>0</v>
      </c>
      <c r="V36" s="56">
        <f>IF(AND($D36=0,Simulation!$D$14="Chômage",Simulation!$D$17="Oui",$B36&gt;=Simulation!$D$5,$B36&lt;Simulation!$D$6),IF($V35&lt;&gt;0,$V35,0),U36/LOOKUP($A36,Barèmes!$AB$65:$AB$148,Barèmes!$BA$65:$BA$148))</f>
        <v>0</v>
      </c>
      <c r="X36" s="80">
        <f>IF($B36=Simulation!$D$6,1,X37*(1+LOOKUP($A36,Barèmes!$A$65:$A$148,Barèmes!$T$65:$T$148)))</f>
        <v>1.6254128960270935</v>
      </c>
      <c r="Y36" s="358">
        <f t="shared" si="1"/>
        <v>82684.754020898239</v>
      </c>
      <c r="Z36" s="43">
        <f t="shared" si="2"/>
        <v>28</v>
      </c>
      <c r="AA36" s="56">
        <f>IF(AND($B36&gt;=Simulation!$D$5,$B36&lt;Simulation!$D$6),IF(AND(Simulation!$D$14="Enfants",Simulation!$D$10&gt;0,Simulation!$D$21="Oui",Info_cas_type!$H24=0),4,0),0)</f>
        <v>0</v>
      </c>
      <c r="AB36" s="56">
        <f>IF(AND(Simulation!$D$14="Chômage",Simulation!$D$18="Oui",$B36&gt;=Simulation!$D$5,$B36&lt;Simulation!$D$6,$C36=0),4,0)</f>
        <v>0</v>
      </c>
      <c r="AC36" s="81">
        <f>MIN(4,MIN($C36,LOOKUP($A36,Barèmes!$A$65:$A$148,Barèmes!$V$65:$V$148))/LOOKUP($A36,Barèmes!$A$65:$A$148,Barèmes!$S$65:$S$148))</f>
        <v>4</v>
      </c>
    </row>
    <row r="37" spans="1:29" x14ac:dyDescent="0.25">
      <c r="A37" s="15">
        <f>B37+Simulation!$D$4</f>
        <v>2037</v>
      </c>
      <c r="B37" s="273">
        <v>37</v>
      </c>
      <c r="C37" s="352">
        <f>Salaires!C27</f>
        <v>54128.305134013986</v>
      </c>
      <c r="D37" s="56">
        <f>IF(AND(Simulation!$D$10&gt;0,Simulation!$D$21="Oui",$B37&gt;=Simulation!$D$5,$B37&lt;Simulation!$D$6),IF($C37&gt;0,C37,LOOKUP($A37,Barèmes!$A$65:$A$148,Barèmes!$W$65:$W$148)),MIN($C37,LOOKUP($A37,Barèmes!$A$65:$A$148,Barèmes!$V$65:$V$148)))</f>
        <v>54128.305134013986</v>
      </c>
      <c r="E37" s="56"/>
      <c r="F37" s="63">
        <f>IF(Simulation!$D$44="Oui",IF(C37=0,0,MIN(1,MAX(0,(1.6*LOOKUP(A37,Barèmes!$A$65:$A$148,Barèmes!$F$65:$F$148)/C37-1)/0.6))),0)</f>
        <v>0</v>
      </c>
      <c r="G37" s="181">
        <f>Salaires!D27</f>
        <v>54128.305134013986</v>
      </c>
      <c r="H37" s="56">
        <f>G37*(LOOKUP($A37,Barèmes!$AB$65:$AB$148,Barèmes!$L$65:$L$148)*(1-F37)+LOOKUP($A37,Barèmes!$AB$65:$AB$148,Barèmes!$M$65:$M$148))</f>
        <v>9607.7741612874815</v>
      </c>
      <c r="I37" s="56">
        <f>G37*((IF($A37&gt;=2019,1-$F37,1))*(LOOKUP($A37,Barèmes!$A$65:$A$148,Barèmes!$AD$65:$AD$148)*LOOKUP($A37,Barèmes!$A$65:$A$148,Barèmes!$AI$65:$AI$148)+LOOKUP($A37,Barèmes!$A$65:$A$148,Barèmes!$AR$65:$AR$148)+IF(C37&gt;=LOOKUP($A37,Barèmes!$A$65:$A$148,Barèmes!$V$65:$V$148),LOOKUP($A37,Barèmes!$A$65:$A$148,Barèmes!$AM$65:$AM$148),0)))+G37*(LOOKUP($A37,Barèmes!$A$65:$A$148,Barèmes!$AE$65:$AE$148)*LOOKUP($A37,Barèmes!$A$65:$A$148,Barèmes!$AI$65:$AI$148)+LOOKUP($A37,Barèmes!$A$65:$A$148,Barèmes!$AS$65:$AS$148)+IF(C37&gt;=LOOKUP($A37,Barèmes!$A$65:$A$148,Barèmes!$V$65:$V$148),LOOKUP($A37,Barèmes!$A$65:$A$148,Barèmes!$AN$65:$AN$148),0))</f>
        <v>5425.821306633562</v>
      </c>
      <c r="J37" s="220">
        <f>IF(AND($B37&gt;=Simulation!$D$5,$B37&lt;Simulation!$D$6,$I37=0,Simulation!$D$14="Chômage",Simulation!$D$17="Oui"),IF(G36&gt;0,G36*0.03,J36),0)</f>
        <v>0</v>
      </c>
      <c r="K37" s="181">
        <f>Salaires!F27</f>
        <v>0</v>
      </c>
      <c r="L37" s="56">
        <f>K37*(LOOKUP($A37,Barèmes!$AB$65:$AB$148,Barèmes!$O$65:$O$148)*(1-$F37)+LOOKUP($A37,Barèmes!$AB$65:$AB$148,Barèmes!$P$65:$P$148))</f>
        <v>0</v>
      </c>
      <c r="M37" s="56">
        <f>Salaires!E27</f>
        <v>0</v>
      </c>
      <c r="N37" s="56">
        <f>M37*((IF($A37&gt;=2019,1-$F37,1))*(LOOKUP($A37,Barèmes!$A$65:$A$148,Barèmes!$AG$65:$AG$148)*LOOKUP($A37,Barèmes!$A$65:$A$148,Barèmes!$AI$65:$AI$148)+LOOKUP($A37,Barèmes!$A$65:$A$148,Barèmes!$AW$65:$AW$148)+IF($C37&gt;=LOOKUP($A37,Barèmes!$A$65:$A$148,Barèmes!$V$65:$V$148),LOOKUP($A37,Barèmes!$A$65:$A$148,Barèmes!$AM$65:$AM$148),0)))+M37*(LOOKUP($A37,Barèmes!$A$65:$A$148,Barèmes!$AH$65:$AH$148)*LOOKUP($A37,Barèmes!$A$65:$A$148,Barèmes!$AI$65:$AI$148)+LOOKUP($A37,Barèmes!$A$65:$A$148,Barèmes!$AX$65:$AX$148)+IF($C37&gt;=LOOKUP($A37,Barèmes!$A$65:$A$148,Barèmes!$V$65:$V$148),LOOKUP($A37,Barèmes!$A$65:$A$148,Barèmes!$AN$65:$AN$148),0))</f>
        <v>0</v>
      </c>
      <c r="O37" s="56">
        <f>IF(AND($B37&gt;=Simulation!$D$5,$B37&lt;Simulation!$D$6,$N37=0,Simulation!$D$14="Chômage",Simulation!$D$17="Oui"),IF(M36&gt;0,M36*0.03,O36),0)</f>
        <v>0</v>
      </c>
      <c r="Q37" s="91">
        <f t="shared" si="0"/>
        <v>15033.595467921044</v>
      </c>
      <c r="R37" s="56"/>
      <c r="S37" s="56">
        <f>G37*LOOKUP($A37,Barèmes!$A$65:$A$148,Barèmes!$AC$65:$AC$148)</f>
        <v>3355.954918308867</v>
      </c>
      <c r="T37" s="56">
        <f>IF(AND($D37=0,Simulation!$D$14="Chômage",Simulation!$D$17="Oui",$B37&gt;=Simulation!$D$5,$B37&lt;Simulation!$D$6),IF($T36&lt;&gt;0,$T36,0),S37/LOOKUP($A37,Barèmes!$AB$65:$AB$148,Barèmes!$BA$65:$BA$148))</f>
        <v>128.10601786900133</v>
      </c>
      <c r="U37" s="181">
        <f>K37*LOOKUP($A37,Barèmes!$A$65:$A$148,Barèmes!$AF$65:$AF$148)</f>
        <v>0</v>
      </c>
      <c r="V37" s="56">
        <f>IF(AND($D37=0,Simulation!$D$14="Chômage",Simulation!$D$17="Oui",$B37&gt;=Simulation!$D$5,$B37&lt;Simulation!$D$6),IF($V36&lt;&gt;0,$V36,0),U37/LOOKUP($A37,Barèmes!$AB$65:$AB$148,Barèmes!$BA$65:$BA$148))</f>
        <v>0</v>
      </c>
      <c r="X37" s="80">
        <f>IF($B37=Simulation!$D$6,1,X38*(1+LOOKUP($A37,Barèmes!$A$65:$A$148,Barèmes!$T$65:$T$148)))</f>
        <v>1.597457391672819</v>
      </c>
      <c r="Y37" s="358">
        <f t="shared" si="1"/>
        <v>86467.173696466343</v>
      </c>
      <c r="Z37" s="43">
        <f t="shared" si="2"/>
        <v>27</v>
      </c>
      <c r="AA37" s="56">
        <f>IF(AND($B37&gt;=Simulation!$D$5,$B37&lt;Simulation!$D$6),IF(AND(Simulation!$D$14="Enfants",Simulation!$D$10&gt;0,Simulation!$D$21="Oui",Info_cas_type!$H25=0),4,0),0)</f>
        <v>0</v>
      </c>
      <c r="AB37" s="56">
        <f>IF(AND(Simulation!$D$14="Chômage",Simulation!$D$18="Oui",$B37&gt;=Simulation!$D$5,$B37&lt;Simulation!$D$6,$C37=0),4,0)</f>
        <v>0</v>
      </c>
      <c r="AC37" s="81">
        <f>MIN(4,MIN($C37,LOOKUP($A37,Barèmes!$A$65:$A$148,Barèmes!$V$65:$V$148))/LOOKUP($A37,Barèmes!$A$65:$A$148,Barèmes!$S$65:$S$148))</f>
        <v>4</v>
      </c>
    </row>
    <row r="38" spans="1:29" x14ac:dyDescent="0.25">
      <c r="A38" s="15">
        <f>B38+Simulation!$D$4</f>
        <v>2038</v>
      </c>
      <c r="B38" s="273">
        <v>38</v>
      </c>
      <c r="C38" s="352">
        <f>Salaires!C28</f>
        <v>55952.265949566339</v>
      </c>
      <c r="D38" s="56">
        <f>IF(AND(Simulation!$D$10&gt;0,Simulation!$D$21="Oui",$B38&gt;=Simulation!$D$5,$B38&lt;Simulation!$D$6),IF($C38&gt;0,C38,LOOKUP($A38,Barèmes!$A$65:$A$148,Barèmes!$W$65:$W$148)),MIN($C38,LOOKUP($A38,Barèmes!$A$65:$A$148,Barèmes!$V$65:$V$148)))</f>
        <v>55952.265949566339</v>
      </c>
      <c r="E38" s="56"/>
      <c r="F38" s="63">
        <f>IF(Simulation!$D$44="Oui",IF(C38=0,0,MIN(1,MAX(0,(1.6*LOOKUP(A38,Barèmes!$A$65:$A$148,Barèmes!$F$65:$F$148)/C38-1)/0.6))),0)</f>
        <v>0</v>
      </c>
      <c r="G38" s="181">
        <f>Salaires!D28</f>
        <v>55952.265949566339</v>
      </c>
      <c r="H38" s="56">
        <f>G38*(LOOKUP($A38,Barèmes!$AB$65:$AB$148,Barèmes!$L$65:$L$148)*(1-F38)+LOOKUP($A38,Barèmes!$AB$65:$AB$148,Barèmes!$M$65:$M$148))</f>
        <v>9931.5272060480256</v>
      </c>
      <c r="I38" s="56">
        <f>G38*((IF($A38&gt;=2019,1-$F38,1))*(LOOKUP($A38,Barèmes!$A$65:$A$148,Barèmes!$AD$65:$AD$148)*LOOKUP($A38,Barèmes!$A$65:$A$148,Barèmes!$AI$65:$AI$148)+LOOKUP($A38,Barèmes!$A$65:$A$148,Barèmes!$AR$65:$AR$148)+IF(C38&gt;=LOOKUP($A38,Barèmes!$A$65:$A$148,Barèmes!$V$65:$V$148),LOOKUP($A38,Barèmes!$A$65:$A$148,Barèmes!$AM$65:$AM$148),0)))+G38*(LOOKUP($A38,Barèmes!$A$65:$A$148,Barèmes!$AE$65:$AE$148)*LOOKUP($A38,Barèmes!$A$65:$A$148,Barèmes!$AI$65:$AI$148)+LOOKUP($A38,Barèmes!$A$65:$A$148,Barèmes!$AS$65:$AS$148)+IF(C38&gt;=LOOKUP($A38,Barèmes!$A$65:$A$148,Barèmes!$V$65:$V$148),LOOKUP($A38,Barèmes!$A$65:$A$148,Barèmes!$AN$65:$AN$148),0))</f>
        <v>5608.6551387845302</v>
      </c>
      <c r="J38" s="220">
        <f>IF(AND($B38&gt;=Simulation!$D$5,$B38&lt;Simulation!$D$6,$I38=0,Simulation!$D$14="Chômage",Simulation!$D$17="Oui"),IF(G37&gt;0,G37*0.03,J37),0)</f>
        <v>0</v>
      </c>
      <c r="K38" s="181">
        <f>Salaires!F28</f>
        <v>0</v>
      </c>
      <c r="L38" s="56">
        <f>K38*(LOOKUP($A38,Barèmes!$AB$65:$AB$148,Barèmes!$O$65:$O$148)*(1-$F38)+LOOKUP($A38,Barèmes!$AB$65:$AB$148,Barèmes!$P$65:$P$148))</f>
        <v>0</v>
      </c>
      <c r="M38" s="56">
        <f>Salaires!E28</f>
        <v>0</v>
      </c>
      <c r="N38" s="56">
        <f>M38*((IF($A38&gt;=2019,1-$F38,1))*(LOOKUP($A38,Barèmes!$A$65:$A$148,Barèmes!$AG$65:$AG$148)*LOOKUP($A38,Barèmes!$A$65:$A$148,Barèmes!$AI$65:$AI$148)+LOOKUP($A38,Barèmes!$A$65:$A$148,Barèmes!$AW$65:$AW$148)+IF($C38&gt;=LOOKUP($A38,Barèmes!$A$65:$A$148,Barèmes!$V$65:$V$148),LOOKUP($A38,Barèmes!$A$65:$A$148,Barèmes!$AM$65:$AM$148),0)))+M38*(LOOKUP($A38,Barèmes!$A$65:$A$148,Barèmes!$AH$65:$AH$148)*LOOKUP($A38,Barèmes!$A$65:$A$148,Barèmes!$AI$65:$AI$148)+LOOKUP($A38,Barèmes!$A$65:$A$148,Barèmes!$AX$65:$AX$148)+IF($C38&gt;=LOOKUP($A38,Barèmes!$A$65:$A$148,Barèmes!$V$65:$V$148),LOOKUP($A38,Barèmes!$A$65:$A$148,Barèmes!$AN$65:$AN$148),0))</f>
        <v>0</v>
      </c>
      <c r="O38" s="56">
        <f>IF(AND($B38&gt;=Simulation!$D$5,$B38&lt;Simulation!$D$6,$N38=0,Simulation!$D$14="Chômage",Simulation!$D$17="Oui"),IF(M37&gt;0,M37*0.03,O37),0)</f>
        <v>0</v>
      </c>
      <c r="Q38" s="91">
        <f t="shared" si="0"/>
        <v>15540.182344832556</v>
      </c>
      <c r="R38" s="56"/>
      <c r="S38" s="56">
        <f>G38*LOOKUP($A38,Barèmes!$A$65:$A$148,Barèmes!$AC$65:$AC$148)</f>
        <v>3469.0404888731132</v>
      </c>
      <c r="T38" s="56">
        <f>IF(AND($D38=0,Simulation!$D$14="Chômage",Simulation!$D$17="Oui",$B38&gt;=Simulation!$D$5,$B38&lt;Simulation!$D$6),IF($T37&lt;&gt;0,$T37,0),S38/LOOKUP($A38,Barèmes!$AB$65:$AB$148,Barèmes!$BA$65:$BA$148))</f>
        <v>129.9791859206388</v>
      </c>
      <c r="U38" s="181">
        <f>K38*LOOKUP($A38,Barèmes!$A$65:$A$148,Barèmes!$AF$65:$AF$148)</f>
        <v>0</v>
      </c>
      <c r="V38" s="56">
        <f>IF(AND($D38=0,Simulation!$D$14="Chômage",Simulation!$D$17="Oui",$B38&gt;=Simulation!$D$5,$B38&lt;Simulation!$D$6),IF($V37&lt;&gt;0,$V37,0),U38/LOOKUP($A38,Barèmes!$AB$65:$AB$148,Barèmes!$BA$65:$BA$148))</f>
        <v>0</v>
      </c>
      <c r="X38" s="80">
        <f>IF($B38=Simulation!$D$6,1,X39*(1+LOOKUP($A38,Barèmes!$A$65:$A$148,Barèmes!$T$65:$T$148)))</f>
        <v>1.569982694518741</v>
      </c>
      <c r="Y38" s="358">
        <f t="shared" si="1"/>
        <v>87843.671723712599</v>
      </c>
      <c r="Z38" s="43">
        <f t="shared" si="2"/>
        <v>26</v>
      </c>
      <c r="AA38" s="56">
        <f>IF(AND($B38&gt;=Simulation!$D$5,$B38&lt;Simulation!$D$6),IF(AND(Simulation!$D$14="Enfants",Simulation!$D$10&gt;0,Simulation!$D$21="Oui",Info_cas_type!$H26=0),4,0),0)</f>
        <v>0</v>
      </c>
      <c r="AB38" s="56">
        <f>IF(AND(Simulation!$D$14="Chômage",Simulation!$D$18="Oui",$B38&gt;=Simulation!$D$5,$B38&lt;Simulation!$D$6,$C38=0),4,0)</f>
        <v>0</v>
      </c>
      <c r="AC38" s="81">
        <f>MIN(4,MIN($C38,LOOKUP($A38,Barèmes!$A$65:$A$148,Barèmes!$V$65:$V$148))/LOOKUP($A38,Barèmes!$A$65:$A$148,Barèmes!$S$65:$S$148))</f>
        <v>4</v>
      </c>
    </row>
    <row r="39" spans="1:29" x14ac:dyDescent="0.25">
      <c r="A39" s="15">
        <f>B39+Simulation!$D$4</f>
        <v>2039</v>
      </c>
      <c r="B39" s="273">
        <v>39</v>
      </c>
      <c r="C39" s="352">
        <f>Salaires!C29</f>
        <v>59540.587223276743</v>
      </c>
      <c r="D39" s="56">
        <f>IF(AND(Simulation!$D$10&gt;0,Simulation!$D$21="Oui",$B39&gt;=Simulation!$D$5,$B39&lt;Simulation!$D$6),IF($C39&gt;0,C39,LOOKUP($A39,Barèmes!$A$65:$A$148,Barèmes!$W$65:$W$148)),MIN($C39,LOOKUP($A39,Barèmes!$A$65:$A$148,Barèmes!$V$65:$V$148)))</f>
        <v>59540.587223276743</v>
      </c>
      <c r="E39" s="56"/>
      <c r="F39" s="63">
        <f>IF(Simulation!$D$44="Oui",IF(C39=0,0,MIN(1,MAX(0,(1.6*LOOKUP(A39,Barèmes!$A$65:$A$148,Barèmes!$F$65:$F$148)/C39-1)/0.6))),0)</f>
        <v>0</v>
      </c>
      <c r="G39" s="181">
        <f>Salaires!D29</f>
        <v>59540.587223276743</v>
      </c>
      <c r="H39" s="56">
        <f>G39*(LOOKUP($A39,Barèmes!$AB$65:$AB$148,Barèmes!$L$65:$L$148)*(1-F39)+LOOKUP($A39,Barèmes!$AB$65:$AB$148,Barèmes!$M$65:$M$148))</f>
        <v>10568.454232131622</v>
      </c>
      <c r="I39" s="56">
        <f>G39*((IF($A39&gt;=2019,1-$F39,1))*(LOOKUP($A39,Barèmes!$A$65:$A$148,Barèmes!$AD$65:$AD$148)*LOOKUP($A39,Barèmes!$A$65:$A$148,Barèmes!$AI$65:$AI$148)+LOOKUP($A39,Barèmes!$A$65:$A$148,Barèmes!$AR$65:$AR$148)+IF(C39&gt;=LOOKUP($A39,Barèmes!$A$65:$A$148,Barèmes!$V$65:$V$148),LOOKUP($A39,Barèmes!$A$65:$A$148,Barèmes!$AM$65:$AM$148),0)))+G39*(LOOKUP($A39,Barèmes!$A$65:$A$148,Barèmes!$AE$65:$AE$148)*LOOKUP($A39,Barèmes!$A$65:$A$148,Barèmes!$AI$65:$AI$148)+LOOKUP($A39,Barèmes!$A$65:$A$148,Barèmes!$AS$65:$AS$148)+IF(C39&gt;=LOOKUP($A39,Barèmes!$A$65:$A$148,Barèmes!$V$65:$V$148),LOOKUP($A39,Barèmes!$A$65:$A$148,Barèmes!$AN$65:$AN$148),0))</f>
        <v>5968.3484632612617</v>
      </c>
      <c r="J39" s="220">
        <f>IF(AND($B39&gt;=Simulation!$D$5,$B39&lt;Simulation!$D$6,$I39=0,Simulation!$D$14="Chômage",Simulation!$D$17="Oui"),IF(G38&gt;0,G38*0.03,J38),0)</f>
        <v>0</v>
      </c>
      <c r="K39" s="181">
        <f>Salaires!F29</f>
        <v>0</v>
      </c>
      <c r="L39" s="56">
        <f>K39*(LOOKUP($A39,Barèmes!$AB$65:$AB$148,Barèmes!$O$65:$O$148)*(1-$F39)+LOOKUP($A39,Barèmes!$AB$65:$AB$148,Barèmes!$P$65:$P$148))</f>
        <v>0</v>
      </c>
      <c r="M39" s="56">
        <f>Salaires!E29</f>
        <v>0</v>
      </c>
      <c r="N39" s="56">
        <f>M39*((IF($A39&gt;=2019,1-$F39,1))*(LOOKUP($A39,Barèmes!$A$65:$A$148,Barèmes!$AG$65:$AG$148)*LOOKUP($A39,Barèmes!$A$65:$A$148,Barèmes!$AI$65:$AI$148)+LOOKUP($A39,Barèmes!$A$65:$A$148,Barèmes!$AW$65:$AW$148)+IF($C39&gt;=LOOKUP($A39,Barèmes!$A$65:$A$148,Barèmes!$V$65:$V$148),LOOKUP($A39,Barèmes!$A$65:$A$148,Barèmes!$AM$65:$AM$148),0)))+M39*(LOOKUP($A39,Barèmes!$A$65:$A$148,Barèmes!$AH$65:$AH$148)*LOOKUP($A39,Barèmes!$A$65:$A$148,Barèmes!$AI$65:$AI$148)+LOOKUP($A39,Barèmes!$A$65:$A$148,Barèmes!$AX$65:$AX$148)+IF($C39&gt;=LOOKUP($A39,Barèmes!$A$65:$A$148,Barèmes!$V$65:$V$148),LOOKUP($A39,Barèmes!$A$65:$A$148,Barèmes!$AN$65:$AN$148),0))</f>
        <v>0</v>
      </c>
      <c r="O39" s="56">
        <f>IF(AND($B39&gt;=Simulation!$D$5,$B39&lt;Simulation!$D$6,$N39=0,Simulation!$D$14="Chômage",Simulation!$D$17="Oui"),IF(M38&gt;0,M38*0.03,O38),0)</f>
        <v>0</v>
      </c>
      <c r="Q39" s="91">
        <f t="shared" si="0"/>
        <v>16536.802695392886</v>
      </c>
      <c r="R39" s="56"/>
      <c r="S39" s="56">
        <f>G39*LOOKUP($A39,Barèmes!$A$65:$A$148,Barèmes!$AC$65:$AC$148)</f>
        <v>3691.516407843158</v>
      </c>
      <c r="T39" s="56">
        <f>IF(AND($D39=0,Simulation!$D$14="Chômage",Simulation!$D$17="Oui",$B39&gt;=Simulation!$D$5,$B39&lt;Simulation!$D$6),IF($T38&lt;&gt;0,$T38,0),S39/LOOKUP($A39,Barèmes!$AB$65:$AB$148,Barèmes!$BA$65:$BA$148))</f>
        <v>135.7494560427144</v>
      </c>
      <c r="U39" s="181">
        <f>K39*LOOKUP($A39,Barèmes!$A$65:$A$148,Barèmes!$AF$65:$AF$148)</f>
        <v>0</v>
      </c>
      <c r="V39" s="56">
        <f>IF(AND($D39=0,Simulation!$D$14="Chômage",Simulation!$D$17="Oui",$B39&gt;=Simulation!$D$5,$B39&lt;Simulation!$D$6),IF($V38&lt;&gt;0,$V38,0),U39/LOOKUP($A39,Barèmes!$AB$65:$AB$148,Barèmes!$BA$65:$BA$148))</f>
        <v>0</v>
      </c>
      <c r="X39" s="80">
        <f>IF($B39=Simulation!$D$6,1,X40*(1+LOOKUP($A39,Barèmes!$A$65:$A$148,Barèmes!$T$65:$T$148)))</f>
        <v>1.5429805351535537</v>
      </c>
      <c r="Y39" s="358">
        <f t="shared" si="1"/>
        <v>91870.60404357774</v>
      </c>
      <c r="Z39" s="43">
        <f t="shared" si="2"/>
        <v>25</v>
      </c>
      <c r="AA39" s="56">
        <f>IF(AND($B39&gt;=Simulation!$D$5,$B39&lt;Simulation!$D$6),IF(AND(Simulation!$D$14="Enfants",Simulation!$D$10&gt;0,Simulation!$D$21="Oui",Info_cas_type!$H27=0),4,0),0)</f>
        <v>0</v>
      </c>
      <c r="AB39" s="56">
        <f>IF(AND(Simulation!$D$14="Chômage",Simulation!$D$18="Oui",$B39&gt;=Simulation!$D$5,$B39&lt;Simulation!$D$6,$C39=0),4,0)</f>
        <v>0</v>
      </c>
      <c r="AC39" s="81">
        <f>MIN(4,MIN($C39,LOOKUP($A39,Barèmes!$A$65:$A$148,Barèmes!$V$65:$V$148))/LOOKUP($A39,Barèmes!$A$65:$A$148,Barèmes!$S$65:$S$148))</f>
        <v>4</v>
      </c>
    </row>
    <row r="40" spans="1:29" x14ac:dyDescent="0.25">
      <c r="A40" s="15">
        <f>B40+Simulation!$D$4</f>
        <v>2040</v>
      </c>
      <c r="B40" s="273">
        <v>40</v>
      </c>
      <c r="C40" s="352">
        <f>Salaires!C30</f>
        <v>61023.60328917711</v>
      </c>
      <c r="D40" s="56">
        <f>IF(AND(Simulation!$D$10&gt;0,Simulation!$D$21="Oui",$B40&gt;=Simulation!$D$5,$B40&lt;Simulation!$D$6),IF($C40&gt;0,C40,LOOKUP($A40,Barèmes!$A$65:$A$148,Barèmes!$W$65:$W$148)),MIN($C40,LOOKUP($A40,Barèmes!$A$65:$A$148,Barèmes!$V$65:$V$148)))</f>
        <v>61023.60328917711</v>
      </c>
      <c r="E40" s="56"/>
      <c r="F40" s="63">
        <f>IF(Simulation!$D$44="Oui",IF(C40=0,0,MIN(1,MAX(0,(1.6*LOOKUP(A40,Barèmes!$A$65:$A$148,Barèmes!$F$65:$F$148)/C40-1)/0.6))),0)</f>
        <v>0</v>
      </c>
      <c r="G40" s="181">
        <f>Salaires!D30</f>
        <v>61023.60328917711</v>
      </c>
      <c r="H40" s="56">
        <f>G40*(LOOKUP($A40,Barèmes!$AB$65:$AB$148,Barèmes!$L$65:$L$148)*(1-F40)+LOOKUP($A40,Barèmes!$AB$65:$AB$148,Barèmes!$M$65:$M$148))</f>
        <v>10831.689583828937</v>
      </c>
      <c r="I40" s="56">
        <f>G40*((IF($A40&gt;=2019,1-$F40,1))*(LOOKUP($A40,Barèmes!$A$65:$A$148,Barèmes!$AD$65:$AD$148)*LOOKUP($A40,Barèmes!$A$65:$A$148,Barèmes!$AI$65:$AI$148)+LOOKUP($A40,Barèmes!$A$65:$A$148,Barèmes!$AR$65:$AR$148)+IF(C40&gt;=LOOKUP($A40,Barèmes!$A$65:$A$148,Barèmes!$V$65:$V$148),LOOKUP($A40,Barèmes!$A$65:$A$148,Barèmes!$AM$65:$AM$148),0)))+G40*(LOOKUP($A40,Barèmes!$A$65:$A$148,Barèmes!$AE$65:$AE$148)*LOOKUP($A40,Barèmes!$A$65:$A$148,Barèmes!$AI$65:$AI$148)+LOOKUP($A40,Barèmes!$A$65:$A$148,Barèmes!$AS$65:$AS$148)+IF(C40&gt;=LOOKUP($A40,Barèmes!$A$65:$A$148,Barèmes!$V$65:$V$148),LOOKUP($A40,Barèmes!$A$65:$A$148,Barèmes!$AN$65:$AN$148),0))</f>
        <v>6117.0059937071128</v>
      </c>
      <c r="J40" s="220">
        <f>IF(AND($B40&gt;=Simulation!$D$5,$B40&lt;Simulation!$D$6,$I40=0,Simulation!$D$14="Chômage",Simulation!$D$17="Oui"),IF(G39&gt;0,G39*0.03,J39),0)</f>
        <v>0</v>
      </c>
      <c r="K40" s="181">
        <f>Salaires!F30</f>
        <v>0</v>
      </c>
      <c r="L40" s="56">
        <f>K40*(LOOKUP($A40,Barèmes!$AB$65:$AB$148,Barèmes!$O$65:$O$148)*(1-$F40)+LOOKUP($A40,Barèmes!$AB$65:$AB$148,Barèmes!$P$65:$P$148))</f>
        <v>0</v>
      </c>
      <c r="M40" s="56">
        <f>Salaires!E30</f>
        <v>0</v>
      </c>
      <c r="N40" s="56">
        <f>M40*((IF($A40&gt;=2019,1-$F40,1))*(LOOKUP($A40,Barèmes!$A$65:$A$148,Barèmes!$AG$65:$AG$148)*LOOKUP($A40,Barèmes!$A$65:$A$148,Barèmes!$AI$65:$AI$148)+LOOKUP($A40,Barèmes!$A$65:$A$148,Barèmes!$AW$65:$AW$148)+IF($C40&gt;=LOOKUP($A40,Barèmes!$A$65:$A$148,Barèmes!$V$65:$V$148),LOOKUP($A40,Barèmes!$A$65:$A$148,Barèmes!$AM$65:$AM$148),0)))+M40*(LOOKUP($A40,Barèmes!$A$65:$A$148,Barèmes!$AH$65:$AH$148)*LOOKUP($A40,Barèmes!$A$65:$A$148,Barèmes!$AI$65:$AI$148)+LOOKUP($A40,Barèmes!$A$65:$A$148,Barèmes!$AX$65:$AX$148)+IF($C40&gt;=LOOKUP($A40,Barèmes!$A$65:$A$148,Barèmes!$V$65:$V$148),LOOKUP($A40,Barèmes!$A$65:$A$148,Barèmes!$AN$65:$AN$148),0))</f>
        <v>0</v>
      </c>
      <c r="O40" s="56">
        <f>IF(AND($B40&gt;=Simulation!$D$5,$B40&lt;Simulation!$D$6,$N40=0,Simulation!$D$14="Chômage",Simulation!$D$17="Oui"),IF(M39&gt;0,M39*0.03,O39),0)</f>
        <v>0</v>
      </c>
      <c r="Q40" s="91">
        <f t="shared" si="0"/>
        <v>16948.695577536047</v>
      </c>
      <c r="R40" s="56"/>
      <c r="S40" s="56">
        <f>G40*LOOKUP($A40,Barèmes!$A$65:$A$148,Barèmes!$AC$65:$AC$148)</f>
        <v>3783.4634039289808</v>
      </c>
      <c r="T40" s="56">
        <f>IF(AND($D40=0,Simulation!$D$14="Chômage",Simulation!$D$17="Oui",$B40&gt;=Simulation!$D$5,$B40&lt;Simulation!$D$6),IF($T39&lt;&gt;0,$T39,0),S40/LOOKUP($A40,Barèmes!$AB$65:$AB$148,Barèmes!$BA$65:$BA$148))</f>
        <v>136.54966160652603</v>
      </c>
      <c r="U40" s="181">
        <f>K40*LOOKUP($A40,Barèmes!$A$65:$A$148,Barèmes!$AF$65:$AF$148)</f>
        <v>0</v>
      </c>
      <c r="V40" s="56">
        <f>IF(AND($D40=0,Simulation!$D$14="Chômage",Simulation!$D$17="Oui",$B40&gt;=Simulation!$D$5,$B40&lt;Simulation!$D$6),IF($V39&lt;&gt;0,$V39,0),U40/LOOKUP($A40,Barèmes!$AB$65:$AB$148,Barèmes!$BA$65:$BA$148))</f>
        <v>0</v>
      </c>
      <c r="X40" s="80">
        <f>IF($B40=Simulation!$D$6,1,X41*(1+LOOKUP($A40,Barèmes!$A$65:$A$148,Barèmes!$T$65:$T$148)))</f>
        <v>1.5164427863916989</v>
      </c>
      <c r="Y40" s="358">
        <f t="shared" si="1"/>
        <v>92539.404596767039</v>
      </c>
      <c r="Z40" s="43">
        <f t="shared" si="2"/>
        <v>24</v>
      </c>
      <c r="AA40" s="56">
        <f>IF(AND($B40&gt;=Simulation!$D$5,$B40&lt;Simulation!$D$6),IF(AND(Simulation!$D$14="Enfants",Simulation!$D$10&gt;0,Simulation!$D$21="Oui",Info_cas_type!$H28=0),4,0),0)</f>
        <v>0</v>
      </c>
      <c r="AB40" s="56">
        <f>IF(AND(Simulation!$D$14="Chômage",Simulation!$D$18="Oui",$B40&gt;=Simulation!$D$5,$B40&lt;Simulation!$D$6,$C40=0),4,0)</f>
        <v>0</v>
      </c>
      <c r="AC40" s="81">
        <f>MIN(4,MIN($C40,LOOKUP($A40,Barèmes!$A$65:$A$148,Barèmes!$V$65:$V$148))/LOOKUP($A40,Barèmes!$A$65:$A$148,Barèmes!$S$65:$S$148))</f>
        <v>4</v>
      </c>
    </row>
    <row r="41" spans="1:29" x14ac:dyDescent="0.25">
      <c r="A41" s="15">
        <f>B41+Simulation!$D$4</f>
        <v>2041</v>
      </c>
      <c r="B41" s="273">
        <v>41</v>
      </c>
      <c r="C41" s="352">
        <f>Salaires!C31</f>
        <v>63397.257496449602</v>
      </c>
      <c r="D41" s="56">
        <f>IF(AND(Simulation!$D$10&gt;0,Simulation!$D$21="Oui",$B41&gt;=Simulation!$D$5,$B41&lt;Simulation!$D$6),IF($C41&gt;0,C41,LOOKUP($A41,Barèmes!$A$65:$A$148,Barèmes!$W$65:$W$148)),MIN($C41,LOOKUP($A41,Barèmes!$A$65:$A$148,Barèmes!$V$65:$V$148)))</f>
        <v>63397.257496449602</v>
      </c>
      <c r="E41" s="56"/>
      <c r="F41" s="63">
        <f>IF(Simulation!$D$44="Oui",IF(C41=0,0,MIN(1,MAX(0,(1.6*LOOKUP(A41,Barèmes!$A$65:$A$148,Barèmes!$F$65:$F$148)/C41-1)/0.6))),0)</f>
        <v>0</v>
      </c>
      <c r="G41" s="181">
        <f>Salaires!D31</f>
        <v>63397.257496449602</v>
      </c>
      <c r="H41" s="56">
        <f>G41*(LOOKUP($A41,Barèmes!$AB$65:$AB$148,Barèmes!$L$65:$L$148)*(1-F41)+LOOKUP($A41,Barèmes!$AB$65:$AB$148,Barèmes!$M$65:$M$148))</f>
        <v>11253.013205619804</v>
      </c>
      <c r="I41" s="56">
        <f>G41*((IF($A41&gt;=2019,1-$F41,1))*(LOOKUP($A41,Barèmes!$A$65:$A$148,Barèmes!$AD$65:$AD$148)*LOOKUP($A41,Barèmes!$A$65:$A$148,Barèmes!$AI$65:$AI$148)+LOOKUP($A41,Barèmes!$A$65:$A$148,Barèmes!$AR$65:$AR$148)+IF(C41&gt;=LOOKUP($A41,Barèmes!$A$65:$A$148,Barèmes!$V$65:$V$148),LOOKUP($A41,Barèmes!$A$65:$A$148,Barèmes!$AM$65:$AM$148),0)))+G41*(LOOKUP($A41,Barèmes!$A$65:$A$148,Barèmes!$AE$65:$AE$148)*LOOKUP($A41,Barèmes!$A$65:$A$148,Barèmes!$AI$65:$AI$148)+LOOKUP($A41,Barèmes!$A$65:$A$148,Barèmes!$AS$65:$AS$148)+IF(C41&gt;=LOOKUP($A41,Barèmes!$A$65:$A$148,Barèmes!$V$65:$V$148),LOOKUP($A41,Barèmes!$A$65:$A$148,Barèmes!$AN$65:$AN$148),0))</f>
        <v>6354.9410914441087</v>
      </c>
      <c r="J41" s="220">
        <f>IF(AND($B41&gt;=Simulation!$D$5,$B41&lt;Simulation!$D$6,$I41=0,Simulation!$D$14="Chômage",Simulation!$D$17="Oui"),IF(G40&gt;0,G40*0.03,J40),0)</f>
        <v>0</v>
      </c>
      <c r="K41" s="181">
        <f>Salaires!F31</f>
        <v>0</v>
      </c>
      <c r="L41" s="56">
        <f>K41*(LOOKUP($A41,Barèmes!$AB$65:$AB$148,Barèmes!$O$65:$O$148)*(1-$F41)+LOOKUP($A41,Barèmes!$AB$65:$AB$148,Barèmes!$P$65:$P$148))</f>
        <v>0</v>
      </c>
      <c r="M41" s="56">
        <f>Salaires!E31</f>
        <v>0</v>
      </c>
      <c r="N41" s="56">
        <f>M41*((IF($A41&gt;=2019,1-$F41,1))*(LOOKUP($A41,Barèmes!$A$65:$A$148,Barèmes!$AG$65:$AG$148)*LOOKUP($A41,Barèmes!$A$65:$A$148,Barèmes!$AI$65:$AI$148)+LOOKUP($A41,Barèmes!$A$65:$A$148,Barèmes!$AW$65:$AW$148)+IF($C41&gt;=LOOKUP($A41,Barèmes!$A$65:$A$148,Barèmes!$V$65:$V$148),LOOKUP($A41,Barèmes!$A$65:$A$148,Barèmes!$AM$65:$AM$148),0)))+M41*(LOOKUP($A41,Barèmes!$A$65:$A$148,Barèmes!$AH$65:$AH$148)*LOOKUP($A41,Barèmes!$A$65:$A$148,Barèmes!$AI$65:$AI$148)+LOOKUP($A41,Barèmes!$A$65:$A$148,Barèmes!$AX$65:$AX$148)+IF($C41&gt;=LOOKUP($A41,Barèmes!$A$65:$A$148,Barèmes!$V$65:$V$148),LOOKUP($A41,Barèmes!$A$65:$A$148,Barèmes!$AN$65:$AN$148),0))</f>
        <v>0</v>
      </c>
      <c r="O41" s="56">
        <f>IF(AND($B41&gt;=Simulation!$D$5,$B41&lt;Simulation!$D$6,$N41=0,Simulation!$D$14="Chômage",Simulation!$D$17="Oui"),IF(M40&gt;0,M40*0.03,O40),0)</f>
        <v>0</v>
      </c>
      <c r="Q41" s="91">
        <f t="shared" si="0"/>
        <v>17607.954297063912</v>
      </c>
      <c r="R41" s="56"/>
      <c r="S41" s="56">
        <f>G41*LOOKUP($A41,Barèmes!$A$65:$A$148,Barèmes!$AC$65:$AC$148)</f>
        <v>3930.6299647798751</v>
      </c>
      <c r="T41" s="56">
        <f>IF(AND($D41=0,Simulation!$D$14="Chômage",Simulation!$D$17="Oui",$B41&gt;=Simulation!$D$5,$B41&lt;Simulation!$D$6),IF($T40&lt;&gt;0,$T40,0),S41/LOOKUP($A41,Barèmes!$AB$65:$AB$148,Barèmes!$BA$65:$BA$148))</f>
        <v>139.2295064265505</v>
      </c>
      <c r="U41" s="181">
        <f>K41*LOOKUP($A41,Barèmes!$A$65:$A$148,Barèmes!$AF$65:$AF$148)</f>
        <v>0</v>
      </c>
      <c r="V41" s="56">
        <f>IF(AND($D41=0,Simulation!$D$14="Chômage",Simulation!$D$17="Oui",$B41&gt;=Simulation!$D$5,$B41&lt;Simulation!$D$6),IF($V40&lt;&gt;0,$V40,0),U41/LOOKUP($A41,Barèmes!$AB$65:$AB$148,Barèmes!$BA$65:$BA$148))</f>
        <v>0</v>
      </c>
      <c r="X41" s="80">
        <f>IF($B41=Simulation!$D$6,1,X42*(1+LOOKUP($A41,Barèmes!$A$65:$A$148,Barèmes!$T$65:$T$148)))</f>
        <v>1.4903614608272224</v>
      </c>
      <c r="Y41" s="358">
        <f t="shared" si="1"/>
        <v>94484.445532063415</v>
      </c>
      <c r="Z41" s="43">
        <f t="shared" si="2"/>
        <v>23</v>
      </c>
      <c r="AA41" s="56">
        <f>IF(AND($B41&gt;=Simulation!$D$5,$B41&lt;Simulation!$D$6),IF(AND(Simulation!$D$14="Enfants",Simulation!$D$10&gt;0,Simulation!$D$21="Oui",Info_cas_type!$H29=0),4,0),0)</f>
        <v>0</v>
      </c>
      <c r="AB41" s="56">
        <f>IF(AND(Simulation!$D$14="Chômage",Simulation!$D$18="Oui",$B41&gt;=Simulation!$D$5,$B41&lt;Simulation!$D$6,$C41=0),4,0)</f>
        <v>0</v>
      </c>
      <c r="AC41" s="81">
        <f>MIN(4,MIN($C41,LOOKUP($A41,Barèmes!$A$65:$A$148,Barèmes!$V$65:$V$148))/LOOKUP($A41,Barèmes!$A$65:$A$148,Barèmes!$S$65:$S$148))</f>
        <v>4</v>
      </c>
    </row>
    <row r="42" spans="1:29" x14ac:dyDescent="0.25">
      <c r="A42" s="15">
        <f>B42+Simulation!$D$4</f>
        <v>2042</v>
      </c>
      <c r="B42" s="273">
        <v>42</v>
      </c>
      <c r="C42" s="352">
        <f>Salaires!C32</f>
        <v>65240.349375143269</v>
      </c>
      <c r="D42" s="56">
        <f>IF(AND(Simulation!$D$10&gt;0,Simulation!$D$21="Oui",$B42&gt;=Simulation!$D$5,$B42&lt;Simulation!$D$6),IF($C42&gt;0,C42,LOOKUP($A42,Barèmes!$A$65:$A$148,Barèmes!$W$65:$W$148)),MIN($C42,LOOKUP($A42,Barèmes!$A$65:$A$148,Barèmes!$V$65:$V$148)))</f>
        <v>65240.349375143269</v>
      </c>
      <c r="E42" s="56"/>
      <c r="F42" s="63">
        <f>IF(Simulation!$D$44="Oui",IF(C42=0,0,MIN(1,MAX(0,(1.6*LOOKUP(A42,Barèmes!$A$65:$A$148,Barèmes!$F$65:$F$148)/C42-1)/0.6))),0)</f>
        <v>0</v>
      </c>
      <c r="G42" s="181">
        <f>Salaires!D32</f>
        <v>65240.349375143269</v>
      </c>
      <c r="H42" s="56">
        <f>G42*(LOOKUP($A42,Barèmes!$AB$65:$AB$148,Barèmes!$L$65:$L$148)*(1-F42)+LOOKUP($A42,Barèmes!$AB$65:$AB$148,Barèmes!$M$65:$M$148))</f>
        <v>11580.162014087929</v>
      </c>
      <c r="I42" s="56">
        <f>G42*((IF($A42&gt;=2019,1-$F42,1))*(LOOKUP($A42,Barèmes!$A$65:$A$148,Barèmes!$AD$65:$AD$148)*LOOKUP($A42,Barèmes!$A$65:$A$148,Barèmes!$AI$65:$AI$148)+LOOKUP($A42,Barèmes!$A$65:$A$148,Barèmes!$AR$65:$AR$148)+IF(C42&gt;=LOOKUP($A42,Barèmes!$A$65:$A$148,Barèmes!$V$65:$V$148),LOOKUP($A42,Barèmes!$A$65:$A$148,Barèmes!$AM$65:$AM$148),0)))+G42*(LOOKUP($A42,Barèmes!$A$65:$A$148,Barèmes!$AE$65:$AE$148)*LOOKUP($A42,Barèmes!$A$65:$A$148,Barèmes!$AI$65:$AI$148)+LOOKUP($A42,Barèmes!$A$65:$A$148,Barèmes!$AS$65:$AS$148)+IF(C42&gt;=LOOKUP($A42,Barèmes!$A$65:$A$148,Barèmes!$V$65:$V$148),LOOKUP($A42,Barèmes!$A$65:$A$148,Barèmes!$AN$65:$AN$148),0))</f>
        <v>6539.6926213643619</v>
      </c>
      <c r="J42" s="220">
        <f>IF(AND($B42&gt;=Simulation!$D$5,$B42&lt;Simulation!$D$6,$I42=0,Simulation!$D$14="Chômage",Simulation!$D$17="Oui"),IF(G41&gt;0,G41*0.03,J41),0)</f>
        <v>0</v>
      </c>
      <c r="K42" s="181">
        <f>Salaires!F32</f>
        <v>0</v>
      </c>
      <c r="L42" s="56">
        <f>K42*(LOOKUP($A42,Barèmes!$AB$65:$AB$148,Barèmes!$O$65:$O$148)*(1-$F42)+LOOKUP($A42,Barèmes!$AB$65:$AB$148,Barèmes!$P$65:$P$148))</f>
        <v>0</v>
      </c>
      <c r="M42" s="56">
        <f>Salaires!E32</f>
        <v>0</v>
      </c>
      <c r="N42" s="56">
        <f>M42*((IF($A42&gt;=2019,1-$F42,1))*(LOOKUP($A42,Barèmes!$A$65:$A$148,Barèmes!$AG$65:$AG$148)*LOOKUP($A42,Barèmes!$A$65:$A$148,Barèmes!$AI$65:$AI$148)+LOOKUP($A42,Barèmes!$A$65:$A$148,Barèmes!$AW$65:$AW$148)+IF($C42&gt;=LOOKUP($A42,Barèmes!$A$65:$A$148,Barèmes!$V$65:$V$148),LOOKUP($A42,Barèmes!$A$65:$A$148,Barèmes!$AM$65:$AM$148),0)))+M42*(LOOKUP($A42,Barèmes!$A$65:$A$148,Barèmes!$AH$65:$AH$148)*LOOKUP($A42,Barèmes!$A$65:$A$148,Barèmes!$AI$65:$AI$148)+LOOKUP($A42,Barèmes!$A$65:$A$148,Barèmes!$AX$65:$AX$148)+IF($C42&gt;=LOOKUP($A42,Barèmes!$A$65:$A$148,Barèmes!$V$65:$V$148),LOOKUP($A42,Barèmes!$A$65:$A$148,Barèmes!$AN$65:$AN$148),0))</f>
        <v>0</v>
      </c>
      <c r="O42" s="56">
        <f>IF(AND($B42&gt;=Simulation!$D$5,$B42&lt;Simulation!$D$6,$N42=0,Simulation!$D$14="Chômage",Simulation!$D$17="Oui"),IF(M41&gt;0,M41*0.03,O41),0)</f>
        <v>0</v>
      </c>
      <c r="Q42" s="91">
        <f t="shared" si="0"/>
        <v>18119.854635452291</v>
      </c>
      <c r="R42" s="56"/>
      <c r="S42" s="56">
        <f>G42*LOOKUP($A42,Barèmes!$A$65:$A$148,Barèmes!$AC$65:$AC$148)</f>
        <v>4044.9016612588825</v>
      </c>
      <c r="T42" s="56">
        <f>IF(AND($D42=0,Simulation!$D$14="Chômage",Simulation!$D$17="Oui",$B42&gt;=Simulation!$D$5,$B42&lt;Simulation!$D$6),IF($T41&lt;&gt;0,$T41,0),S42/LOOKUP($A42,Barèmes!$AB$65:$AB$148,Barèmes!$BA$65:$BA$148))</f>
        <v>140.61935418718238</v>
      </c>
      <c r="U42" s="181">
        <f>K42*LOOKUP($A42,Barèmes!$A$65:$A$148,Barèmes!$AF$65:$AF$148)</f>
        <v>0</v>
      </c>
      <c r="V42" s="56">
        <f>IF(AND($D42=0,Simulation!$D$14="Chômage",Simulation!$D$17="Oui",$B42&gt;=Simulation!$D$5,$B42&lt;Simulation!$D$6),IF($V41&lt;&gt;0,$V41,0),U42/LOOKUP($A42,Barèmes!$AB$65:$AB$148,Barèmes!$BA$65:$BA$148))</f>
        <v>0</v>
      </c>
      <c r="X42" s="80">
        <f>IF($B42=Simulation!$D$6,1,X43*(1+LOOKUP($A42,Barèmes!$A$65:$A$148,Barèmes!$T$65:$T$148)))</f>
        <v>1.4647287084297025</v>
      </c>
      <c r="Y42" s="358">
        <f t="shared" si="1"/>
        <v>95558.900937953789</v>
      </c>
      <c r="Z42" s="43">
        <f t="shared" si="2"/>
        <v>22</v>
      </c>
      <c r="AA42" s="56">
        <f>IF(AND($B42&gt;=Simulation!$D$5,$B42&lt;Simulation!$D$6),IF(AND(Simulation!$D$14="Enfants",Simulation!$D$10&gt;0,Simulation!$D$21="Oui",Info_cas_type!$H30=0),4,0),0)</f>
        <v>0</v>
      </c>
      <c r="AB42" s="56">
        <f>IF(AND(Simulation!$D$14="Chômage",Simulation!$D$18="Oui",$B42&gt;=Simulation!$D$5,$B42&lt;Simulation!$D$6,$C42=0),4,0)</f>
        <v>0</v>
      </c>
      <c r="AC42" s="81">
        <f>MIN(4,MIN($C42,LOOKUP($A42,Barèmes!$A$65:$A$148,Barèmes!$V$65:$V$148))/LOOKUP($A42,Barèmes!$A$65:$A$148,Barèmes!$S$65:$S$148))</f>
        <v>4</v>
      </c>
    </row>
    <row r="43" spans="1:29" x14ac:dyDescent="0.25">
      <c r="A43" s="15">
        <f>B43+Simulation!$D$4</f>
        <v>2043</v>
      </c>
      <c r="B43" s="273">
        <v>43</v>
      </c>
      <c r="C43" s="352">
        <f>Salaires!C33</f>
        <v>67489.002499698472</v>
      </c>
      <c r="D43" s="56">
        <f>IF(AND(Simulation!$D$10&gt;0,Simulation!$D$21="Oui",$B43&gt;=Simulation!$D$5,$B43&lt;Simulation!$D$6),IF($C43&gt;0,C43,LOOKUP($A43,Barèmes!$A$65:$A$148,Barèmes!$W$65:$W$148)),MIN($C43,LOOKUP($A43,Barèmes!$A$65:$A$148,Barèmes!$V$65:$V$148)))</f>
        <v>67489.002499698472</v>
      </c>
      <c r="E43" s="56"/>
      <c r="F43" s="63">
        <f>IF(Simulation!$D$44="Oui",IF(C43=0,0,MIN(1,MAX(0,(1.6*LOOKUP(A43,Barèmes!$A$65:$A$148,Barèmes!$F$65:$F$148)/C43-1)/0.6))),0)</f>
        <v>0</v>
      </c>
      <c r="G43" s="181">
        <f>Salaires!D33</f>
        <v>67489.002499698472</v>
      </c>
      <c r="H43" s="56">
        <f>G43*(LOOKUP($A43,Barèmes!$AB$65:$AB$148,Barèmes!$L$65:$L$148)*(1-F43)+LOOKUP($A43,Barèmes!$AB$65:$AB$148,Barèmes!$M$65:$M$148))</f>
        <v>11979.297943696478</v>
      </c>
      <c r="I43" s="56">
        <f>G43*((IF($A43&gt;=2019,1-$F43,1))*(LOOKUP($A43,Barèmes!$A$65:$A$148,Barèmes!$AD$65:$AD$148)*LOOKUP($A43,Barèmes!$A$65:$A$148,Barèmes!$AI$65:$AI$148)+LOOKUP($A43,Barèmes!$A$65:$A$148,Barèmes!$AR$65:$AR$148)+IF(C43&gt;=LOOKUP($A43,Barèmes!$A$65:$A$148,Barèmes!$V$65:$V$148),LOOKUP($A43,Barèmes!$A$65:$A$148,Barèmes!$AM$65:$AM$148),0)))+G43*(LOOKUP($A43,Barèmes!$A$65:$A$148,Barèmes!$AE$65:$AE$148)*LOOKUP($A43,Barèmes!$A$65:$A$148,Barèmes!$AI$65:$AI$148)+LOOKUP($A43,Barèmes!$A$65:$A$148,Barèmes!$AS$65:$AS$148)+IF(C43&gt;=LOOKUP($A43,Barèmes!$A$65:$A$148,Barèmes!$V$65:$V$148),LOOKUP($A43,Barèmes!$A$65:$A$148,Barèmes!$AN$65:$AN$148),0))</f>
        <v>6765.0976105697755</v>
      </c>
      <c r="J43" s="220">
        <f>IF(AND($B43&gt;=Simulation!$D$5,$B43&lt;Simulation!$D$6,$I43=0,Simulation!$D$14="Chômage",Simulation!$D$17="Oui"),IF(G42&gt;0,G42*0.03,J42),0)</f>
        <v>0</v>
      </c>
      <c r="K43" s="181">
        <f>Salaires!F33</f>
        <v>0</v>
      </c>
      <c r="L43" s="56">
        <f>K43*(LOOKUP($A43,Barèmes!$AB$65:$AB$148,Barèmes!$O$65:$O$148)*(1-$F43)+LOOKUP($A43,Barèmes!$AB$65:$AB$148,Barèmes!$P$65:$P$148))</f>
        <v>0</v>
      </c>
      <c r="M43" s="56">
        <f>Salaires!E33</f>
        <v>0</v>
      </c>
      <c r="N43" s="56">
        <f>M43*((IF($A43&gt;=2019,1-$F43,1))*(LOOKUP($A43,Barèmes!$A$65:$A$148,Barèmes!$AG$65:$AG$148)*LOOKUP($A43,Barèmes!$A$65:$A$148,Barèmes!$AI$65:$AI$148)+LOOKUP($A43,Barèmes!$A$65:$A$148,Barèmes!$AW$65:$AW$148)+IF($C43&gt;=LOOKUP($A43,Barèmes!$A$65:$A$148,Barèmes!$V$65:$V$148),LOOKUP($A43,Barèmes!$A$65:$A$148,Barèmes!$AM$65:$AM$148),0)))+M43*(LOOKUP($A43,Barèmes!$A$65:$A$148,Barèmes!$AH$65:$AH$148)*LOOKUP($A43,Barèmes!$A$65:$A$148,Barèmes!$AI$65:$AI$148)+LOOKUP($A43,Barèmes!$A$65:$A$148,Barèmes!$AX$65:$AX$148)+IF($C43&gt;=LOOKUP($A43,Barèmes!$A$65:$A$148,Barèmes!$V$65:$V$148),LOOKUP($A43,Barèmes!$A$65:$A$148,Barèmes!$AN$65:$AN$148),0))</f>
        <v>0</v>
      </c>
      <c r="O43" s="56">
        <f>IF(AND($B43&gt;=Simulation!$D$5,$B43&lt;Simulation!$D$6,$N43=0,Simulation!$D$14="Chômage",Simulation!$D$17="Oui"),IF(M42&gt;0,M42*0.03,O42),0)</f>
        <v>0</v>
      </c>
      <c r="Q43" s="91">
        <f t="shared" si="0"/>
        <v>18744.395554266252</v>
      </c>
      <c r="R43" s="56"/>
      <c r="S43" s="56">
        <f>G43*LOOKUP($A43,Barèmes!$A$65:$A$148,Barèmes!$AC$65:$AC$148)</f>
        <v>4184.3181549813053</v>
      </c>
      <c r="T43" s="56">
        <f>IF(AND($D43=0,Simulation!$D$14="Chômage",Simulation!$D$17="Oui",$B43&gt;=Simulation!$D$5,$B43&lt;Simulation!$D$6),IF($T42&lt;&gt;0,$T42,0),S43/LOOKUP($A43,Barèmes!$AB$65:$AB$148,Barèmes!$BA$65:$BA$148))</f>
        <v>142.76758886406398</v>
      </c>
      <c r="U43" s="181">
        <f>K43*LOOKUP($A43,Barèmes!$A$65:$A$148,Barèmes!$AF$65:$AF$148)</f>
        <v>0</v>
      </c>
      <c r="V43" s="56">
        <f>IF(AND($D43=0,Simulation!$D$14="Chômage",Simulation!$D$17="Oui",$B43&gt;=Simulation!$D$5,$B43&lt;Simulation!$D$6),IF($V42&lt;&gt;0,$V42,0),U43/LOOKUP($A43,Barèmes!$AB$65:$AB$148,Barèmes!$BA$65:$BA$148))</f>
        <v>0</v>
      </c>
      <c r="X43" s="80">
        <f>IF($B43=Simulation!$D$6,1,X44*(1+LOOKUP($A43,Barèmes!$A$65:$A$148,Barèmes!$T$65:$T$148)))</f>
        <v>1.4395368141815257</v>
      </c>
      <c r="Y43" s="358">
        <f t="shared" si="1"/>
        <v>97152.900052296987</v>
      </c>
      <c r="Z43" s="43">
        <f t="shared" si="2"/>
        <v>21</v>
      </c>
      <c r="AA43" s="56">
        <f>IF(AND($B43&gt;=Simulation!$D$5,$B43&lt;Simulation!$D$6),IF(AND(Simulation!$D$14="Enfants",Simulation!$D$10&gt;0,Simulation!$D$21="Oui",Info_cas_type!$H31=0),4,0),0)</f>
        <v>0</v>
      </c>
      <c r="AB43" s="56">
        <f>IF(AND(Simulation!$D$14="Chômage",Simulation!$D$18="Oui",$B43&gt;=Simulation!$D$5,$B43&lt;Simulation!$D$6,$C43=0),4,0)</f>
        <v>0</v>
      </c>
      <c r="AC43" s="81">
        <f>MIN(4,MIN($C43,LOOKUP($A43,Barèmes!$A$65:$A$148,Barèmes!$V$65:$V$148))/LOOKUP($A43,Barèmes!$A$65:$A$148,Barèmes!$S$65:$S$148))</f>
        <v>4</v>
      </c>
    </row>
    <row r="44" spans="1:29" x14ac:dyDescent="0.25">
      <c r="A44" s="15">
        <f>B44+Simulation!$D$4</f>
        <v>2044</v>
      </c>
      <c r="B44" s="273">
        <v>44</v>
      </c>
      <c r="C44" s="352">
        <f>Salaires!C34</f>
        <v>69568.246187926154</v>
      </c>
      <c r="D44" s="56">
        <f>IF(AND(Simulation!$D$10&gt;0,Simulation!$D$21="Oui",$B44&gt;=Simulation!$D$5,$B44&lt;Simulation!$D$6),IF($C44&gt;0,C44,LOOKUP($A44,Barèmes!$A$65:$A$148,Barèmes!$W$65:$W$148)),MIN($C44,LOOKUP($A44,Barèmes!$A$65:$A$148,Barèmes!$V$65:$V$148)))</f>
        <v>69568.246187926154</v>
      </c>
      <c r="E44" s="56"/>
      <c r="F44" s="63">
        <f>IF(Simulation!$D$44="Oui",IF(C44=0,0,MIN(1,MAX(0,(1.6*LOOKUP(A44,Barèmes!$A$65:$A$148,Barèmes!$F$65:$F$148)/C44-1)/0.6))),0)</f>
        <v>0</v>
      </c>
      <c r="G44" s="181">
        <f>Salaires!D34</f>
        <v>69568.246187926154</v>
      </c>
      <c r="H44" s="56">
        <f>G44*(LOOKUP($A44,Barèmes!$AB$65:$AB$148,Barèmes!$L$65:$L$148)*(1-F44)+LOOKUP($A44,Barèmes!$AB$65:$AB$148,Barèmes!$M$65:$M$148))</f>
        <v>12348.363698356892</v>
      </c>
      <c r="I44" s="56">
        <f>G44*((IF($A44&gt;=2019,1-$F44,1))*(LOOKUP($A44,Barèmes!$A$65:$A$148,Barèmes!$AD$65:$AD$148)*LOOKUP($A44,Barèmes!$A$65:$A$148,Barèmes!$AI$65:$AI$148)+LOOKUP($A44,Barèmes!$A$65:$A$148,Barèmes!$AR$65:$AR$148)+IF(C44&gt;=LOOKUP($A44,Barèmes!$A$65:$A$148,Barèmes!$V$65:$V$148),LOOKUP($A44,Barèmes!$A$65:$A$148,Barèmes!$AM$65:$AM$148),0)))+G44*(LOOKUP($A44,Barèmes!$A$65:$A$148,Barèmes!$AE$65:$AE$148)*LOOKUP($A44,Barèmes!$A$65:$A$148,Barèmes!$AI$65:$AI$148)+LOOKUP($A44,Barèmes!$A$65:$A$148,Barèmes!$AS$65:$AS$148)+IF(C44&gt;=LOOKUP($A44,Barèmes!$A$65:$A$148,Barèmes!$V$65:$V$148),LOOKUP($A44,Barèmes!$A$65:$A$148,Barèmes!$AN$65:$AN$148),0))</f>
        <v>6973.5209978777184</v>
      </c>
      <c r="J44" s="220">
        <f>IF(AND($B44&gt;=Simulation!$D$5,$B44&lt;Simulation!$D$6,$I44=0,Simulation!$D$14="Chômage",Simulation!$D$17="Oui"),IF(G43&gt;0,G43*0.03,J43),0)</f>
        <v>0</v>
      </c>
      <c r="K44" s="181">
        <f>Salaires!F34</f>
        <v>0</v>
      </c>
      <c r="L44" s="56">
        <f>K44*(LOOKUP($A44,Barèmes!$AB$65:$AB$148,Barèmes!$O$65:$O$148)*(1-$F44)+LOOKUP($A44,Barèmes!$AB$65:$AB$148,Barèmes!$P$65:$P$148))</f>
        <v>0</v>
      </c>
      <c r="M44" s="56">
        <f>Salaires!E34</f>
        <v>0</v>
      </c>
      <c r="N44" s="56">
        <f>M44*((IF($A44&gt;=2019,1-$F44,1))*(LOOKUP($A44,Barèmes!$A$65:$A$148,Barèmes!$AG$65:$AG$148)*LOOKUP($A44,Barèmes!$A$65:$A$148,Barèmes!$AI$65:$AI$148)+LOOKUP($A44,Barèmes!$A$65:$A$148,Barèmes!$AW$65:$AW$148)+IF($C44&gt;=LOOKUP($A44,Barèmes!$A$65:$A$148,Barèmes!$V$65:$V$148),LOOKUP($A44,Barèmes!$A$65:$A$148,Barèmes!$AM$65:$AM$148),0)))+M44*(LOOKUP($A44,Barèmes!$A$65:$A$148,Barèmes!$AH$65:$AH$148)*LOOKUP($A44,Barèmes!$A$65:$A$148,Barèmes!$AI$65:$AI$148)+LOOKUP($A44,Barèmes!$A$65:$A$148,Barèmes!$AX$65:$AX$148)+IF($C44&gt;=LOOKUP($A44,Barèmes!$A$65:$A$148,Barèmes!$V$65:$V$148),LOOKUP($A44,Barèmes!$A$65:$A$148,Barèmes!$AN$65:$AN$148),0))</f>
        <v>0</v>
      </c>
      <c r="O44" s="56">
        <f>IF(AND($B44&gt;=Simulation!$D$5,$B44&lt;Simulation!$D$6,$N44=0,Simulation!$D$14="Chômage",Simulation!$D$17="Oui"),IF(M43&gt;0,M43*0.03,O43),0)</f>
        <v>0</v>
      </c>
      <c r="Q44" s="91">
        <f t="shared" si="0"/>
        <v>19321.884696234611</v>
      </c>
      <c r="R44" s="56"/>
      <c r="S44" s="56">
        <f>G44*LOOKUP($A44,Barèmes!$A$65:$A$148,Barèmes!$AC$65:$AC$148)</f>
        <v>4313.2312636514216</v>
      </c>
      <c r="T44" s="56">
        <f>IF(AND($D44=0,Simulation!$D$14="Chômage",Simulation!$D$17="Oui",$B44&gt;=Simulation!$D$5,$B44&lt;Simulation!$D$6),IF($T43&lt;&gt;0,$T43,0),S44/LOOKUP($A44,Barèmes!$AB$65:$AB$148,Barèmes!$BA$65:$BA$148))</f>
        <v>144.42186682464455</v>
      </c>
      <c r="U44" s="181">
        <f>K44*LOOKUP($A44,Barèmes!$A$65:$A$148,Barèmes!$AF$65:$AF$148)</f>
        <v>0</v>
      </c>
      <c r="V44" s="56">
        <f>IF(AND($D44=0,Simulation!$D$14="Chômage",Simulation!$D$17="Oui",$B44&gt;=Simulation!$D$5,$B44&lt;Simulation!$D$6),IF($V43&lt;&gt;0,$V43,0),U44/LOOKUP($A44,Barèmes!$AB$65:$AB$148,Barèmes!$BA$65:$BA$148))</f>
        <v>0</v>
      </c>
      <c r="X44" s="80">
        <f>IF($B44=Simulation!$D$6,1,X45*(1+LOOKUP($A44,Barèmes!$A$65:$A$148,Barèmes!$T$65:$T$148)))</f>
        <v>1.414778195755799</v>
      </c>
      <c r="Y44" s="358">
        <f t="shared" si="1"/>
        <v>98423.28952233943</v>
      </c>
      <c r="Z44" s="43">
        <f t="shared" si="2"/>
        <v>20</v>
      </c>
      <c r="AA44" s="56">
        <f>IF(AND($B44&gt;=Simulation!$D$5,$B44&lt;Simulation!$D$6),IF(AND(Simulation!$D$14="Enfants",Simulation!$D$10&gt;0,Simulation!$D$21="Oui",Info_cas_type!$H32=0),4,0),0)</f>
        <v>0</v>
      </c>
      <c r="AB44" s="56">
        <f>IF(AND(Simulation!$D$14="Chômage",Simulation!$D$18="Oui",$B44&gt;=Simulation!$D$5,$B44&lt;Simulation!$D$6,$C44=0),4,0)</f>
        <v>0</v>
      </c>
      <c r="AC44" s="81">
        <f>MIN(4,MIN($C44,LOOKUP($A44,Barèmes!$A$65:$A$148,Barèmes!$V$65:$V$148))/LOOKUP($A44,Barèmes!$A$65:$A$148,Barèmes!$S$65:$S$148))</f>
        <v>4</v>
      </c>
    </row>
    <row r="45" spans="1:29" x14ac:dyDescent="0.25">
      <c r="A45" s="15">
        <f>B45+Simulation!$D$4</f>
        <v>2045</v>
      </c>
      <c r="B45" s="273">
        <v>45</v>
      </c>
      <c r="C45" s="352">
        <f>Salaires!C35</f>
        <v>71897.871277343394</v>
      </c>
      <c r="D45" s="56">
        <f>IF(AND(Simulation!$D$10&gt;0,Simulation!$D$21="Oui",$B45&gt;=Simulation!$D$5,$B45&lt;Simulation!$D$6),IF($C45&gt;0,C45,LOOKUP($A45,Barèmes!$A$65:$A$148,Barèmes!$W$65:$W$148)),MIN($C45,LOOKUP($A45,Barèmes!$A$65:$A$148,Barèmes!$V$65:$V$148)))</f>
        <v>71897.871277343394</v>
      </c>
      <c r="E45" s="56"/>
      <c r="F45" s="63">
        <f>IF(Simulation!$D$44="Oui",IF(C45=0,0,MIN(1,MAX(0,(1.6*LOOKUP(A45,Barèmes!$A$65:$A$148,Barèmes!$F$65:$F$148)/C45-1)/0.6))),0)</f>
        <v>0</v>
      </c>
      <c r="G45" s="181">
        <f>Salaires!D35</f>
        <v>71897.871277343394</v>
      </c>
      <c r="H45" s="56">
        <f>G45*(LOOKUP($A45,Barèmes!$AB$65:$AB$148,Barèmes!$L$65:$L$148)*(1-F45)+LOOKUP($A45,Barèmes!$AB$65:$AB$148,Barèmes!$M$65:$M$148))</f>
        <v>12761.872151728452</v>
      </c>
      <c r="I45" s="56">
        <f>G45*((IF($A45&gt;=2019,1-$F45,1))*(LOOKUP($A45,Barèmes!$A$65:$A$148,Barèmes!$AD$65:$AD$148)*LOOKUP($A45,Barèmes!$A$65:$A$148,Barèmes!$AI$65:$AI$148)+LOOKUP($A45,Barèmes!$A$65:$A$148,Barèmes!$AR$65:$AR$148)+IF(C45&gt;=LOOKUP($A45,Barèmes!$A$65:$A$148,Barèmes!$V$65:$V$148),LOOKUP($A45,Barèmes!$A$65:$A$148,Barèmes!$AM$65:$AM$148),0)))+G45*(LOOKUP($A45,Barèmes!$A$65:$A$148,Barèmes!$AE$65:$AE$148)*LOOKUP($A45,Barèmes!$A$65:$A$148,Barèmes!$AI$65:$AI$148)+LOOKUP($A45,Barèmes!$A$65:$A$148,Barèmes!$AS$65:$AS$148)+IF(C45&gt;=LOOKUP($A45,Barèmes!$A$65:$A$148,Barèmes!$V$65:$V$148),LOOKUP($A45,Barèmes!$A$65:$A$148,Barèmes!$AN$65:$AN$148),0))</f>
        <v>7207.0426168409012</v>
      </c>
      <c r="J45" s="220">
        <f>IF(AND($B45&gt;=Simulation!$D$5,$B45&lt;Simulation!$D$6,$I45=0,Simulation!$D$14="Chômage",Simulation!$D$17="Oui"),IF(G44&gt;0,G44*0.03,J44),0)</f>
        <v>0</v>
      </c>
      <c r="K45" s="181">
        <f>Salaires!F35</f>
        <v>0</v>
      </c>
      <c r="L45" s="56">
        <f>K45*(LOOKUP($A45,Barèmes!$AB$65:$AB$148,Barèmes!$O$65:$O$148)*(1-$F45)+LOOKUP($A45,Barèmes!$AB$65:$AB$148,Barèmes!$P$65:$P$148))</f>
        <v>0</v>
      </c>
      <c r="M45" s="56">
        <f>Salaires!E35</f>
        <v>0</v>
      </c>
      <c r="N45" s="56">
        <f>M45*((IF($A45&gt;=2019,1-$F45,1))*(LOOKUP($A45,Barèmes!$A$65:$A$148,Barèmes!$AG$65:$AG$148)*LOOKUP($A45,Barèmes!$A$65:$A$148,Barèmes!$AI$65:$AI$148)+LOOKUP($A45,Barèmes!$A$65:$A$148,Barèmes!$AW$65:$AW$148)+IF($C45&gt;=LOOKUP($A45,Barèmes!$A$65:$A$148,Barèmes!$V$65:$V$148),LOOKUP($A45,Barèmes!$A$65:$A$148,Barèmes!$AM$65:$AM$148),0)))+M45*(LOOKUP($A45,Barèmes!$A$65:$A$148,Barèmes!$AH$65:$AH$148)*LOOKUP($A45,Barèmes!$A$65:$A$148,Barèmes!$AI$65:$AI$148)+LOOKUP($A45,Barèmes!$A$65:$A$148,Barèmes!$AX$65:$AX$148)+IF($C45&gt;=LOOKUP($A45,Barèmes!$A$65:$A$148,Barèmes!$V$65:$V$148),LOOKUP($A45,Barèmes!$A$65:$A$148,Barèmes!$AN$65:$AN$148),0))</f>
        <v>0</v>
      </c>
      <c r="O45" s="56">
        <f>IF(AND($B45&gt;=Simulation!$D$5,$B45&lt;Simulation!$D$6,$N45=0,Simulation!$D$14="Chômage",Simulation!$D$17="Oui"),IF(M44&gt;0,M44*0.03,O44),0)</f>
        <v>0</v>
      </c>
      <c r="Q45" s="91">
        <f t="shared" si="0"/>
        <v>19968.914768569353</v>
      </c>
      <c r="R45" s="56"/>
      <c r="S45" s="56">
        <f>G45*LOOKUP($A45,Barèmes!$A$65:$A$148,Barèmes!$AC$65:$AC$148)</f>
        <v>4457.6680191952901</v>
      </c>
      <c r="T45" s="56">
        <f>IF(AND($D45=0,Simulation!$D$14="Chômage",Simulation!$D$17="Oui",$B45&gt;=Simulation!$D$5,$B45&lt;Simulation!$D$6),IF($T44&lt;&gt;0,$T44,0),S45/LOOKUP($A45,Barèmes!$AB$65:$AB$148,Barèmes!$BA$65:$BA$148))</f>
        <v>146.47529545969297</v>
      </c>
      <c r="U45" s="181">
        <f>K45*LOOKUP($A45,Barèmes!$A$65:$A$148,Barèmes!$AF$65:$AF$148)</f>
        <v>0</v>
      </c>
      <c r="V45" s="56">
        <f>IF(AND($D45=0,Simulation!$D$14="Chômage",Simulation!$D$17="Oui",$B45&gt;=Simulation!$D$5,$B45&lt;Simulation!$D$6),IF($V44&lt;&gt;0,$V44,0),U45/LOOKUP($A45,Barèmes!$AB$65:$AB$148,Barèmes!$BA$65:$BA$148))</f>
        <v>0</v>
      </c>
      <c r="X45" s="80">
        <f>IF($B45=Simulation!$D$6,1,X46*(1+LOOKUP($A45,Barèmes!$A$65:$A$148,Barèmes!$T$65:$T$148)))</f>
        <v>1.3904454012342005</v>
      </c>
      <c r="Y45" s="358">
        <f t="shared" si="1"/>
        <v>99970.243457936551</v>
      </c>
      <c r="Z45" s="43">
        <f t="shared" si="2"/>
        <v>19</v>
      </c>
      <c r="AA45" s="56">
        <f>IF(AND($B45&gt;=Simulation!$D$5,$B45&lt;Simulation!$D$6),IF(AND(Simulation!$D$14="Enfants",Simulation!$D$10&gt;0,Simulation!$D$21="Oui",Info_cas_type!$H33=0),4,0),0)</f>
        <v>0</v>
      </c>
      <c r="AB45" s="56">
        <f>IF(AND(Simulation!$D$14="Chômage",Simulation!$D$18="Oui",$B45&gt;=Simulation!$D$5,$B45&lt;Simulation!$D$6,$C45=0),4,0)</f>
        <v>0</v>
      </c>
      <c r="AC45" s="81">
        <f>MIN(4,MIN($C45,LOOKUP($A45,Barèmes!$A$65:$A$148,Barèmes!$V$65:$V$148))/LOOKUP($A45,Barèmes!$A$65:$A$148,Barèmes!$S$65:$S$148))</f>
        <v>4</v>
      </c>
    </row>
    <row r="46" spans="1:29" x14ac:dyDescent="0.25">
      <c r="A46" s="15">
        <f>B46+Simulation!$D$4</f>
        <v>2046</v>
      </c>
      <c r="B46" s="273">
        <v>46</v>
      </c>
      <c r="C46" s="352">
        <f>Salaires!C36</f>
        <v>74373.084030682789</v>
      </c>
      <c r="D46" s="56">
        <f>IF(AND(Simulation!$D$10&gt;0,Simulation!$D$21="Oui",$B46&gt;=Simulation!$D$5,$B46&lt;Simulation!$D$6),IF($C46&gt;0,C46,LOOKUP($A46,Barèmes!$A$65:$A$148,Barèmes!$W$65:$W$148)),MIN($C46,LOOKUP($A46,Barèmes!$A$65:$A$148,Barèmes!$V$65:$V$148)))</f>
        <v>74373.084030682789</v>
      </c>
      <c r="E46" s="56"/>
      <c r="F46" s="63">
        <f>IF(Simulation!$D$44="Oui",IF(C46=0,0,MIN(1,MAX(0,(1.6*LOOKUP(A46,Barèmes!$A$65:$A$148,Barèmes!$F$65:$F$148)/C46-1)/0.6))),0)</f>
        <v>0</v>
      </c>
      <c r="G46" s="181">
        <f>Salaires!D36</f>
        <v>74373.084030682789</v>
      </c>
      <c r="H46" s="56">
        <f>G46*(LOOKUP($A46,Barèmes!$AB$65:$AB$148,Barèmes!$L$65:$L$148)*(1-F46)+LOOKUP($A46,Barèmes!$AB$65:$AB$148,Barèmes!$M$65:$M$148))</f>
        <v>13201.222415446195</v>
      </c>
      <c r="I46" s="56">
        <f>G46*((IF($A46&gt;=2019,1-$F46,1))*(LOOKUP($A46,Barèmes!$A$65:$A$148,Barèmes!$AD$65:$AD$148)*LOOKUP($A46,Barèmes!$A$65:$A$148,Barèmes!$AI$65:$AI$148)+LOOKUP($A46,Barèmes!$A$65:$A$148,Barèmes!$AR$65:$AR$148)+IF(C46&gt;=LOOKUP($A46,Barèmes!$A$65:$A$148,Barèmes!$V$65:$V$148),LOOKUP($A46,Barèmes!$A$65:$A$148,Barèmes!$AM$65:$AM$148),0)))+G46*(LOOKUP($A46,Barèmes!$A$65:$A$148,Barèmes!$AE$65:$AE$148)*LOOKUP($A46,Barèmes!$A$65:$A$148,Barèmes!$AI$65:$AI$148)+LOOKUP($A46,Barèmes!$A$65:$A$148,Barèmes!$AS$65:$AS$148)+IF(C46&gt;=LOOKUP($A46,Barèmes!$A$65:$A$148,Barèmes!$V$65:$V$148),LOOKUP($A46,Barèmes!$A$65:$A$148,Barèmes!$AN$65:$AN$148),0))</f>
        <v>7455.157943235643</v>
      </c>
      <c r="J46" s="220">
        <f>IF(AND($B46&gt;=Simulation!$D$5,$B46&lt;Simulation!$D$6,$I46=0,Simulation!$D$14="Chômage",Simulation!$D$17="Oui"),IF(G45&gt;0,G45*0.03,J45),0)</f>
        <v>0</v>
      </c>
      <c r="K46" s="181">
        <f>Salaires!F36</f>
        <v>0</v>
      </c>
      <c r="L46" s="56">
        <f>K46*(LOOKUP($A46,Barèmes!$AB$65:$AB$148,Barèmes!$O$65:$O$148)*(1-$F46)+LOOKUP($A46,Barèmes!$AB$65:$AB$148,Barèmes!$P$65:$P$148))</f>
        <v>0</v>
      </c>
      <c r="M46" s="56">
        <f>Salaires!E36</f>
        <v>0</v>
      </c>
      <c r="N46" s="56">
        <f>M46*((IF($A46&gt;=2019,1-$F46,1))*(LOOKUP($A46,Barèmes!$A$65:$A$148,Barèmes!$AG$65:$AG$148)*LOOKUP($A46,Barèmes!$A$65:$A$148,Barèmes!$AI$65:$AI$148)+LOOKUP($A46,Barèmes!$A$65:$A$148,Barèmes!$AW$65:$AW$148)+IF($C46&gt;=LOOKUP($A46,Barèmes!$A$65:$A$148,Barèmes!$V$65:$V$148),LOOKUP($A46,Barèmes!$A$65:$A$148,Barèmes!$AM$65:$AM$148),0)))+M46*(LOOKUP($A46,Barèmes!$A$65:$A$148,Barèmes!$AH$65:$AH$148)*LOOKUP($A46,Barèmes!$A$65:$A$148,Barèmes!$AI$65:$AI$148)+LOOKUP($A46,Barèmes!$A$65:$A$148,Barèmes!$AX$65:$AX$148)+IF($C46&gt;=LOOKUP($A46,Barèmes!$A$65:$A$148,Barèmes!$V$65:$V$148),LOOKUP($A46,Barèmes!$A$65:$A$148,Barèmes!$AN$65:$AN$148),0))</f>
        <v>0</v>
      </c>
      <c r="O46" s="56">
        <f>IF(AND($B46&gt;=Simulation!$D$5,$B46&lt;Simulation!$D$6,$N46=0,Simulation!$D$14="Chômage",Simulation!$D$17="Oui"),IF(M45&gt;0,M45*0.03,O45),0)</f>
        <v>0</v>
      </c>
      <c r="Q46" s="91">
        <f t="shared" si="0"/>
        <v>20656.380358681839</v>
      </c>
      <c r="R46" s="56"/>
      <c r="S46" s="56">
        <f>G46*LOOKUP($A46,Barèmes!$A$65:$A$148,Barèmes!$AC$65:$AC$148)</f>
        <v>4611.1312099023326</v>
      </c>
      <c r="T46" s="56">
        <f>IF(AND($D46=0,Simulation!$D$14="Chômage",Simulation!$D$17="Oui",$B46&gt;=Simulation!$D$5,$B46&lt;Simulation!$D$6),IF($T45&lt;&gt;0,$T45,0),S46/LOOKUP($A46,Barèmes!$AB$65:$AB$148,Barèmes!$BA$65:$BA$148))</f>
        <v>148.69292640062213</v>
      </c>
      <c r="U46" s="181">
        <f>K46*LOOKUP($A46,Barèmes!$A$65:$A$148,Barèmes!$AF$65:$AF$148)</f>
        <v>0</v>
      </c>
      <c r="V46" s="56">
        <f>IF(AND($D46=0,Simulation!$D$14="Chômage",Simulation!$D$17="Oui",$B46&gt;=Simulation!$D$5,$B46&lt;Simulation!$D$6),IF($V45&lt;&gt;0,$V45,0),U46/LOOKUP($A46,Barèmes!$AB$65:$AB$148,Barèmes!$BA$65:$BA$148))</f>
        <v>0</v>
      </c>
      <c r="X46" s="80">
        <f>IF($B46=Simulation!$D$6,1,X47*(1+LOOKUP($A46,Barèmes!$A$65:$A$148,Barèmes!$T$65:$T$148)))</f>
        <v>1.3665311068640791</v>
      </c>
      <c r="Y46" s="358">
        <f t="shared" si="1"/>
        <v>101633.01801080216</v>
      </c>
      <c r="Z46" s="43">
        <f t="shared" si="2"/>
        <v>18</v>
      </c>
      <c r="AA46" s="56">
        <f>IF(AND($B46&gt;=Simulation!$D$5,$B46&lt;Simulation!$D$6),IF(AND(Simulation!$D$14="Enfants",Simulation!$D$10&gt;0,Simulation!$D$21="Oui",Info_cas_type!$H34=0),4,0),0)</f>
        <v>0</v>
      </c>
      <c r="AB46" s="56">
        <f>IF(AND(Simulation!$D$14="Chômage",Simulation!$D$18="Oui",$B46&gt;=Simulation!$D$5,$B46&lt;Simulation!$D$6,$C46=0),4,0)</f>
        <v>0</v>
      </c>
      <c r="AC46" s="81">
        <f>MIN(4,MIN($C46,LOOKUP($A46,Barèmes!$A$65:$A$148,Barèmes!$V$65:$V$148))/LOOKUP($A46,Barèmes!$A$65:$A$148,Barèmes!$S$65:$S$148))</f>
        <v>4</v>
      </c>
    </row>
    <row r="47" spans="1:29" x14ac:dyDescent="0.25">
      <c r="A47" s="15">
        <f>B47+Simulation!$D$4</f>
        <v>2047</v>
      </c>
      <c r="B47" s="273">
        <v>47</v>
      </c>
      <c r="C47" s="352">
        <f>Salaires!C37</f>
        <v>77023.924237480285</v>
      </c>
      <c r="D47" s="56">
        <f>IF(AND(Simulation!$D$10&gt;0,Simulation!$D$21="Oui",$B47&gt;=Simulation!$D$5,$B47&lt;Simulation!$D$6),IF($C47&gt;0,C47,LOOKUP($A47,Barèmes!$A$65:$A$148,Barèmes!$W$65:$W$148)),MIN($C47,LOOKUP($A47,Barèmes!$A$65:$A$148,Barèmes!$V$65:$V$148)))</f>
        <v>77023.924237480285</v>
      </c>
      <c r="E47" s="56"/>
      <c r="F47" s="63">
        <f>IF(Simulation!$D$44="Oui",IF(C47=0,0,MIN(1,MAX(0,(1.6*LOOKUP(A47,Barèmes!$A$65:$A$148,Barèmes!$F$65:$F$148)/C47-1)/0.6))),0)</f>
        <v>0</v>
      </c>
      <c r="G47" s="181">
        <f>Salaires!D37</f>
        <v>77023.924237480285</v>
      </c>
      <c r="H47" s="56">
        <f>G47*(LOOKUP($A47,Barèmes!$AB$65:$AB$148,Barèmes!$L$65:$L$148)*(1-F47)+LOOKUP($A47,Barèmes!$AB$65:$AB$148,Barèmes!$M$65:$M$148))</f>
        <v>13671.74655215275</v>
      </c>
      <c r="I47" s="56">
        <f>G47*((IF($A47&gt;=2019,1-$F47,1))*(LOOKUP($A47,Barèmes!$A$65:$A$148,Barèmes!$AD$65:$AD$148)*LOOKUP($A47,Barèmes!$A$65:$A$148,Barèmes!$AI$65:$AI$148)+LOOKUP($A47,Barèmes!$A$65:$A$148,Barèmes!$AR$65:$AR$148)+IF(C47&gt;=LOOKUP($A47,Barèmes!$A$65:$A$148,Barèmes!$V$65:$V$148),LOOKUP($A47,Barèmes!$A$65:$A$148,Barèmes!$AM$65:$AM$148),0)))+G47*(LOOKUP($A47,Barèmes!$A$65:$A$148,Barèmes!$AE$65:$AE$148)*LOOKUP($A47,Barèmes!$A$65:$A$148,Barèmes!$AI$65:$AI$148)+LOOKUP($A47,Barèmes!$A$65:$A$148,Barèmes!$AS$65:$AS$148)+IF(C47&gt;=LOOKUP($A47,Barèmes!$A$65:$A$148,Barèmes!$V$65:$V$148),LOOKUP($A47,Barèmes!$A$65:$A$148,Barèmes!$AN$65:$AN$148),0))</f>
        <v>7720.8781655650246</v>
      </c>
      <c r="J47" s="220">
        <f>IF(AND($B47&gt;=Simulation!$D$5,$B47&lt;Simulation!$D$6,$I47=0,Simulation!$D$14="Chômage",Simulation!$D$17="Oui"),IF(G46&gt;0,G46*0.03,J46),0)</f>
        <v>0</v>
      </c>
      <c r="K47" s="181">
        <f>Salaires!F37</f>
        <v>0</v>
      </c>
      <c r="L47" s="56">
        <f>K47*(LOOKUP($A47,Barèmes!$AB$65:$AB$148,Barèmes!$O$65:$O$148)*(1-$F47)+LOOKUP($A47,Barèmes!$AB$65:$AB$148,Barèmes!$P$65:$P$148))</f>
        <v>0</v>
      </c>
      <c r="M47" s="56">
        <f>Salaires!E37</f>
        <v>0</v>
      </c>
      <c r="N47" s="56">
        <f>M47*((IF($A47&gt;=2019,1-$F47,1))*(LOOKUP($A47,Barèmes!$A$65:$A$148,Barèmes!$AG$65:$AG$148)*LOOKUP($A47,Barèmes!$A$65:$A$148,Barèmes!$AI$65:$AI$148)+LOOKUP($A47,Barèmes!$A$65:$A$148,Barèmes!$AW$65:$AW$148)+IF($C47&gt;=LOOKUP($A47,Barèmes!$A$65:$A$148,Barèmes!$V$65:$V$148),LOOKUP($A47,Barèmes!$A$65:$A$148,Barèmes!$AM$65:$AM$148),0)))+M47*(LOOKUP($A47,Barèmes!$A$65:$A$148,Barèmes!$AH$65:$AH$148)*LOOKUP($A47,Barèmes!$A$65:$A$148,Barèmes!$AI$65:$AI$148)+LOOKUP($A47,Barèmes!$A$65:$A$148,Barèmes!$AX$65:$AX$148)+IF($C47&gt;=LOOKUP($A47,Barèmes!$A$65:$A$148,Barèmes!$V$65:$V$148),LOOKUP($A47,Barèmes!$A$65:$A$148,Barèmes!$AN$65:$AN$148),0))</f>
        <v>0</v>
      </c>
      <c r="O47" s="56">
        <f>IF(AND($B47&gt;=Simulation!$D$5,$B47&lt;Simulation!$D$6,$N47=0,Simulation!$D$14="Chômage",Simulation!$D$17="Oui"),IF(M46&gt;0,M46*0.03,O46),0)</f>
        <v>0</v>
      </c>
      <c r="Q47" s="91">
        <f t="shared" si="0"/>
        <v>21392.624717717776</v>
      </c>
      <c r="R47" s="56"/>
      <c r="S47" s="56">
        <f>G47*LOOKUP($A47,Barèmes!$A$65:$A$148,Barèmes!$AC$65:$AC$148)</f>
        <v>4775.4833027237773</v>
      </c>
      <c r="T47" s="56">
        <f>IF(AND($D47=0,Simulation!$D$14="Chômage",Simulation!$D$17="Oui",$B47&gt;=Simulation!$D$5,$B47&lt;Simulation!$D$6),IF($T46&lt;&gt;0,$T46,0),S47/LOOKUP($A47,Barèmes!$AB$65:$AB$148,Barèmes!$BA$65:$BA$148))</f>
        <v>151.12145462934774</v>
      </c>
      <c r="U47" s="181">
        <f>K47*LOOKUP($A47,Barèmes!$A$65:$A$148,Barèmes!$AF$65:$AF$148)</f>
        <v>0</v>
      </c>
      <c r="V47" s="56">
        <f>IF(AND($D47=0,Simulation!$D$14="Chômage",Simulation!$D$17="Oui",$B47&gt;=Simulation!$D$5,$B47&lt;Simulation!$D$6),IF($V46&lt;&gt;0,$V46,0),U47/LOOKUP($A47,Barèmes!$AB$65:$AB$148,Barèmes!$BA$65:$BA$148))</f>
        <v>0</v>
      </c>
      <c r="X47" s="80">
        <f>IF($B47=Simulation!$D$6,1,X48*(1+LOOKUP($A47,Barèmes!$A$65:$A$148,Barèmes!$T$65:$T$148)))</f>
        <v>1.3430281148541316</v>
      </c>
      <c r="Y47" s="358">
        <f t="shared" si="1"/>
        <v>103445.39751852464</v>
      </c>
      <c r="Z47" s="43">
        <f t="shared" si="2"/>
        <v>17</v>
      </c>
      <c r="AA47" s="56">
        <f>IF(AND($B47&gt;=Simulation!$D$5,$B47&lt;Simulation!$D$6),IF(AND(Simulation!$D$14="Enfants",Simulation!$D$10&gt;0,Simulation!$D$21="Oui",Info_cas_type!$H35=0),4,0),0)</f>
        <v>0</v>
      </c>
      <c r="AB47" s="56">
        <f>IF(AND(Simulation!$D$14="Chômage",Simulation!$D$18="Oui",$B47&gt;=Simulation!$D$5,$B47&lt;Simulation!$D$6,$C47=0),4,0)</f>
        <v>0</v>
      </c>
      <c r="AC47" s="81">
        <f>MIN(4,MIN($C47,LOOKUP($A47,Barèmes!$A$65:$A$148,Barèmes!$V$65:$V$148))/LOOKUP($A47,Barèmes!$A$65:$A$148,Barèmes!$S$65:$S$148))</f>
        <v>4</v>
      </c>
    </row>
    <row r="48" spans="1:29" x14ac:dyDescent="0.25">
      <c r="A48" s="15">
        <f>B48+Simulation!$D$4</f>
        <v>2048</v>
      </c>
      <c r="B48" s="273">
        <v>48</v>
      </c>
      <c r="C48" s="352">
        <f>Salaires!C38</f>
        <v>80750.452541165752</v>
      </c>
      <c r="D48" s="56">
        <f>IF(AND(Simulation!$D$10&gt;0,Simulation!$D$21="Oui",$B48&gt;=Simulation!$D$5,$B48&lt;Simulation!$D$6),IF($C48&gt;0,C48,LOOKUP($A48,Barèmes!$A$65:$A$148,Barèmes!$W$65:$W$148)),MIN($C48,LOOKUP($A48,Barèmes!$A$65:$A$148,Barèmes!$V$65:$V$148)))</f>
        <v>80750.452541165752</v>
      </c>
      <c r="E48" s="56"/>
      <c r="F48" s="63">
        <f>IF(Simulation!$D$44="Oui",IF(C48=0,0,MIN(1,MAX(0,(1.6*LOOKUP(A48,Barèmes!$A$65:$A$148,Barèmes!$F$65:$F$148)/C48-1)/0.6))),0)</f>
        <v>0</v>
      </c>
      <c r="G48" s="181">
        <f>Salaires!D38</f>
        <v>80750.452541165752</v>
      </c>
      <c r="H48" s="56">
        <f>G48*(LOOKUP($A48,Barèmes!$AB$65:$AB$148,Barèmes!$L$65:$L$148)*(1-F48)+LOOKUP($A48,Barèmes!$AB$65:$AB$148,Barèmes!$M$65:$M$148))</f>
        <v>14333.205326056921</v>
      </c>
      <c r="I48" s="56">
        <f>G48*((IF($A48&gt;=2019,1-$F48,1))*(LOOKUP($A48,Barèmes!$A$65:$A$148,Barèmes!$AD$65:$AD$148)*LOOKUP($A48,Barèmes!$A$65:$A$148,Barèmes!$AI$65:$AI$148)+LOOKUP($A48,Barèmes!$A$65:$A$148,Barèmes!$AR$65:$AR$148)+IF(C48&gt;=LOOKUP($A48,Barèmes!$A$65:$A$148,Barèmes!$V$65:$V$148),LOOKUP($A48,Barèmes!$A$65:$A$148,Barèmes!$AM$65:$AM$148),0)))+G48*(LOOKUP($A48,Barèmes!$A$65:$A$148,Barèmes!$AE$65:$AE$148)*LOOKUP($A48,Barèmes!$A$65:$A$148,Barèmes!$AI$65:$AI$148)+LOOKUP($A48,Barèmes!$A$65:$A$148,Barèmes!$AS$65:$AS$148)+IF(C48&gt;=LOOKUP($A48,Barèmes!$A$65:$A$148,Barèmes!$V$65:$V$148),LOOKUP($A48,Barèmes!$A$65:$A$148,Barèmes!$AN$65:$AN$148),0))</f>
        <v>8094.4253627264552</v>
      </c>
      <c r="J48" s="220">
        <f>IF(AND($B48&gt;=Simulation!$D$5,$B48&lt;Simulation!$D$6,$I48=0,Simulation!$D$14="Chômage",Simulation!$D$17="Oui"),IF(G47&gt;0,G47*0.03,J47),0)</f>
        <v>0</v>
      </c>
      <c r="K48" s="181">
        <f>Salaires!F38</f>
        <v>0</v>
      </c>
      <c r="L48" s="56">
        <f>K48*(LOOKUP($A48,Barèmes!$AB$65:$AB$148,Barèmes!$O$65:$O$148)*(1-$F48)+LOOKUP($A48,Barèmes!$AB$65:$AB$148,Barèmes!$P$65:$P$148))</f>
        <v>0</v>
      </c>
      <c r="M48" s="56">
        <f>Salaires!E38</f>
        <v>0</v>
      </c>
      <c r="N48" s="56">
        <f>M48*((IF($A48&gt;=2019,1-$F48,1))*(LOOKUP($A48,Barèmes!$A$65:$A$148,Barèmes!$AG$65:$AG$148)*LOOKUP($A48,Barèmes!$A$65:$A$148,Barèmes!$AI$65:$AI$148)+LOOKUP($A48,Barèmes!$A$65:$A$148,Barèmes!$AW$65:$AW$148)+IF($C48&gt;=LOOKUP($A48,Barèmes!$A$65:$A$148,Barèmes!$V$65:$V$148),LOOKUP($A48,Barèmes!$A$65:$A$148,Barèmes!$AM$65:$AM$148),0)))+M48*(LOOKUP($A48,Barèmes!$A$65:$A$148,Barèmes!$AH$65:$AH$148)*LOOKUP($A48,Barèmes!$A$65:$A$148,Barèmes!$AI$65:$AI$148)+LOOKUP($A48,Barèmes!$A$65:$A$148,Barèmes!$AX$65:$AX$148)+IF($C48&gt;=LOOKUP($A48,Barèmes!$A$65:$A$148,Barèmes!$V$65:$V$148),LOOKUP($A48,Barèmes!$A$65:$A$148,Barèmes!$AN$65:$AN$148),0))</f>
        <v>0</v>
      </c>
      <c r="O48" s="56">
        <f>IF(AND($B48&gt;=Simulation!$D$5,$B48&lt;Simulation!$D$6,$N48=0,Simulation!$D$14="Chômage",Simulation!$D$17="Oui"),IF(M47&gt;0,M47*0.03,O47),0)</f>
        <v>0</v>
      </c>
      <c r="Q48" s="91">
        <f t="shared" si="0"/>
        <v>22427.630688783378</v>
      </c>
      <c r="R48" s="56"/>
      <c r="S48" s="56">
        <f>G48*LOOKUP($A48,Barèmes!$A$65:$A$148,Barèmes!$AC$65:$AC$148)</f>
        <v>5006.5280575522766</v>
      </c>
      <c r="T48" s="56">
        <f>IF(AND($D48=0,Simulation!$D$14="Chômage",Simulation!$D$17="Oui",$B48&gt;=Simulation!$D$5,$B48&lt;Simulation!$D$6),IF($T47&lt;&gt;0,$T47,0),S48/LOOKUP($A48,Barèmes!$AB$65:$AB$148,Barèmes!$BA$65:$BA$148))</f>
        <v>155.47885783701216</v>
      </c>
      <c r="U48" s="181">
        <f>K48*LOOKUP($A48,Barèmes!$A$65:$A$148,Barèmes!$AF$65:$AF$148)</f>
        <v>0</v>
      </c>
      <c r="V48" s="56">
        <f>IF(AND($D48=0,Simulation!$D$14="Chômage",Simulation!$D$17="Oui",$B48&gt;=Simulation!$D$5,$B48&lt;Simulation!$D$6),IF($V47&lt;&gt;0,$V47,0),U48/LOOKUP($A48,Barèmes!$AB$65:$AB$148,Barèmes!$BA$65:$BA$148))</f>
        <v>0</v>
      </c>
      <c r="X48" s="80">
        <f>IF($B48=Simulation!$D$6,1,X49*(1+LOOKUP($A48,Barèmes!$A$65:$A$148,Barèmes!$T$65:$T$148)))</f>
        <v>1.3199293512079917</v>
      </c>
      <c r="Y48" s="358">
        <f t="shared" si="1"/>
        <v>106584.29511004534</v>
      </c>
      <c r="Z48" s="43">
        <f t="shared" si="2"/>
        <v>16</v>
      </c>
      <c r="AA48" s="56">
        <f>IF(AND($B48&gt;=Simulation!$D$5,$B48&lt;Simulation!$D$6),IF(AND(Simulation!$D$14="Enfants",Simulation!$D$10&gt;0,Simulation!$D$21="Oui",Info_cas_type!$H36=0),4,0),0)</f>
        <v>0</v>
      </c>
      <c r="AB48" s="56">
        <f>IF(AND(Simulation!$D$14="Chômage",Simulation!$D$18="Oui",$B48&gt;=Simulation!$D$5,$B48&lt;Simulation!$D$6,$C48=0),4,0)</f>
        <v>0</v>
      </c>
      <c r="AC48" s="81">
        <f>MIN(4,MIN($C48,LOOKUP($A48,Barèmes!$A$65:$A$148,Barèmes!$V$65:$V$148))/LOOKUP($A48,Barèmes!$A$65:$A$148,Barèmes!$S$65:$S$148))</f>
        <v>4</v>
      </c>
    </row>
    <row r="49" spans="1:29" x14ac:dyDescent="0.25">
      <c r="A49" s="15">
        <f>B49+Simulation!$D$4</f>
        <v>2049</v>
      </c>
      <c r="B49" s="273">
        <v>49</v>
      </c>
      <c r="C49" s="352">
        <f>Salaires!C39</f>
        <v>82930.667120922808</v>
      </c>
      <c r="D49" s="56">
        <f>IF(AND(Simulation!$D$10&gt;0,Simulation!$D$21="Oui",$B49&gt;=Simulation!$D$5,$B49&lt;Simulation!$D$6),IF($C49&gt;0,C49,LOOKUP($A49,Barèmes!$A$65:$A$148,Barèmes!$W$65:$W$148)),MIN($C49,LOOKUP($A49,Barèmes!$A$65:$A$148,Barèmes!$V$65:$V$148)))</f>
        <v>82930.667120922808</v>
      </c>
      <c r="E49" s="56"/>
      <c r="F49" s="63">
        <f>IF(Simulation!$D$44="Oui",IF(C49=0,0,MIN(1,MAX(0,(1.6*LOOKUP(A49,Barèmes!$A$65:$A$148,Barèmes!$F$65:$F$148)/C49-1)/0.6))),0)</f>
        <v>0</v>
      </c>
      <c r="G49" s="181">
        <f>Salaires!D39</f>
        <v>82930.667120922808</v>
      </c>
      <c r="H49" s="56">
        <f>G49*(LOOKUP($A49,Barèmes!$AB$65:$AB$148,Barèmes!$L$65:$L$148)*(1-F49)+LOOKUP($A49,Barèmes!$AB$65:$AB$148,Barèmes!$M$65:$M$148))</f>
        <v>14720.193413963798</v>
      </c>
      <c r="I49" s="56">
        <f>G49*((IF($A49&gt;=2019,1-$F49,1))*(LOOKUP($A49,Barèmes!$A$65:$A$148,Barèmes!$AD$65:$AD$148)*LOOKUP($A49,Barèmes!$A$65:$A$148,Barèmes!$AI$65:$AI$148)+LOOKUP($A49,Barèmes!$A$65:$A$148,Barèmes!$AR$65:$AR$148)+IF(C49&gt;=LOOKUP($A49,Barèmes!$A$65:$A$148,Barèmes!$V$65:$V$148),LOOKUP($A49,Barèmes!$A$65:$A$148,Barèmes!$AM$65:$AM$148),0)))+G49*(LOOKUP($A49,Barèmes!$A$65:$A$148,Barèmes!$AE$65:$AE$148)*LOOKUP($A49,Barèmes!$A$65:$A$148,Barèmes!$AI$65:$AI$148)+LOOKUP($A49,Barèmes!$A$65:$A$148,Barèmes!$AS$65:$AS$148)+IF(C49&gt;=LOOKUP($A49,Barèmes!$A$65:$A$148,Barèmes!$V$65:$V$148),LOOKUP($A49,Barèmes!$A$65:$A$148,Barèmes!$AN$65:$AN$148),0))</f>
        <v>8312.970072201304</v>
      </c>
      <c r="J49" s="220">
        <f>IF(AND($B49&gt;=Simulation!$D$5,$B49&lt;Simulation!$D$6,$I49=0,Simulation!$D$14="Chômage",Simulation!$D$17="Oui"),IF(G48&gt;0,G48*0.03,J48),0)</f>
        <v>0</v>
      </c>
      <c r="K49" s="181">
        <f>Salaires!F39</f>
        <v>0</v>
      </c>
      <c r="L49" s="56">
        <f>K49*(LOOKUP($A49,Barèmes!$AB$65:$AB$148,Barèmes!$O$65:$O$148)*(1-$F49)+LOOKUP($A49,Barèmes!$AB$65:$AB$148,Barèmes!$P$65:$P$148))</f>
        <v>0</v>
      </c>
      <c r="M49" s="56">
        <f>Salaires!E39</f>
        <v>0</v>
      </c>
      <c r="N49" s="56">
        <f>M49*((IF($A49&gt;=2019,1-$F49,1))*(LOOKUP($A49,Barèmes!$A$65:$A$148,Barèmes!$AG$65:$AG$148)*LOOKUP($A49,Barèmes!$A$65:$A$148,Barèmes!$AI$65:$AI$148)+LOOKUP($A49,Barèmes!$A$65:$A$148,Barèmes!$AW$65:$AW$148)+IF($C49&gt;=LOOKUP($A49,Barèmes!$A$65:$A$148,Barèmes!$V$65:$V$148),LOOKUP($A49,Barèmes!$A$65:$A$148,Barèmes!$AM$65:$AM$148),0)))+M49*(LOOKUP($A49,Barèmes!$A$65:$A$148,Barèmes!$AH$65:$AH$148)*LOOKUP($A49,Barèmes!$A$65:$A$148,Barèmes!$AI$65:$AI$148)+LOOKUP($A49,Barèmes!$A$65:$A$148,Barèmes!$AX$65:$AX$148)+IF($C49&gt;=LOOKUP($A49,Barèmes!$A$65:$A$148,Barèmes!$V$65:$V$148),LOOKUP($A49,Barèmes!$A$65:$A$148,Barèmes!$AN$65:$AN$148),0))</f>
        <v>0</v>
      </c>
      <c r="O49" s="56">
        <f>IF(AND($B49&gt;=Simulation!$D$5,$B49&lt;Simulation!$D$6,$N49=0,Simulation!$D$14="Chômage",Simulation!$D$17="Oui"),IF(M48&gt;0,M48*0.03,O48),0)</f>
        <v>0</v>
      </c>
      <c r="Q49" s="91">
        <f t="shared" si="0"/>
        <v>23033.163486165104</v>
      </c>
      <c r="R49" s="56"/>
      <c r="S49" s="56">
        <f>G49*LOOKUP($A49,Barèmes!$A$65:$A$148,Barèmes!$AC$65:$AC$148)</f>
        <v>5141.7013614972138</v>
      </c>
      <c r="T49" s="56">
        <f>IF(AND($D49=0,Simulation!$D$14="Chômage",Simulation!$D$17="Oui",$B49&gt;=Simulation!$D$5,$B49&lt;Simulation!$D$6),IF($T48&lt;&gt;0,$T48,0),S49/LOOKUP($A49,Barèmes!$AB$65:$AB$148,Barèmes!$BA$65:$BA$148))</f>
        <v>156.68418962561256</v>
      </c>
      <c r="U49" s="181">
        <f>K49*LOOKUP($A49,Barèmes!$A$65:$A$148,Barèmes!$AF$65:$AF$148)</f>
        <v>0</v>
      </c>
      <c r="V49" s="56">
        <f>IF(AND($D49=0,Simulation!$D$14="Chômage",Simulation!$D$17="Oui",$B49&gt;=Simulation!$D$5,$B49&lt;Simulation!$D$6),IF($V48&lt;&gt;0,$V48,0),U49/LOOKUP($A49,Barèmes!$AB$65:$AB$148,Barèmes!$BA$65:$BA$148))</f>
        <v>0</v>
      </c>
      <c r="X49" s="80">
        <f>IF($B49=Simulation!$D$6,1,X50*(1+LOOKUP($A49,Barèmes!$A$65:$A$148,Barèmes!$T$65:$T$148)))</f>
        <v>1.2972278635950778</v>
      </c>
      <c r="Y49" s="358">
        <f t="shared" si="1"/>
        <v>107580.4039558034</v>
      </c>
      <c r="Z49" s="43">
        <f t="shared" si="2"/>
        <v>15</v>
      </c>
      <c r="AA49" s="56">
        <f>IF(AND($B49&gt;=Simulation!$D$5,$B49&lt;Simulation!$D$6),IF(AND(Simulation!$D$14="Enfants",Simulation!$D$10&gt;0,Simulation!$D$21="Oui",Info_cas_type!$H37=0),4,0),0)</f>
        <v>0</v>
      </c>
      <c r="AB49" s="56">
        <f>IF(AND(Simulation!$D$14="Chômage",Simulation!$D$18="Oui",$B49&gt;=Simulation!$D$5,$B49&lt;Simulation!$D$6,$C49=0),4,0)</f>
        <v>0</v>
      </c>
      <c r="AC49" s="81">
        <f>MIN(4,MIN($C49,LOOKUP($A49,Barèmes!$A$65:$A$148,Barèmes!$V$65:$V$148))/LOOKUP($A49,Barèmes!$A$65:$A$148,Barèmes!$S$65:$S$148))</f>
        <v>4</v>
      </c>
    </row>
    <row r="50" spans="1:29" x14ac:dyDescent="0.25">
      <c r="A50" s="15">
        <f>B50+Simulation!$D$4</f>
        <v>2050</v>
      </c>
      <c r="B50" s="273">
        <v>50</v>
      </c>
      <c r="C50" s="352">
        <f>Salaires!C40</f>
        <v>85244.849785518381</v>
      </c>
      <c r="D50" s="56">
        <f>IF(AND(Simulation!$D$10&gt;0,Simulation!$D$21="Oui",$B50&gt;=Simulation!$D$5,$B50&lt;Simulation!$D$6),IF($C50&gt;0,C50,LOOKUP($A50,Barèmes!$A$65:$A$148,Barèmes!$W$65:$W$148)),MIN($C50,LOOKUP($A50,Barèmes!$A$65:$A$148,Barèmes!$V$65:$V$148)))</f>
        <v>85244.849785518381</v>
      </c>
      <c r="E50" s="56"/>
      <c r="F50" s="63">
        <f>IF(Simulation!$D$44="Oui",IF(C50=0,0,MIN(1,MAX(0,(1.6*LOOKUP(A50,Barèmes!$A$65:$A$148,Barèmes!$F$65:$F$148)/C50-1)/0.6))),0)</f>
        <v>0</v>
      </c>
      <c r="G50" s="181">
        <f>Salaires!D40</f>
        <v>85244.849785518381</v>
      </c>
      <c r="H50" s="56">
        <f>G50*(LOOKUP($A50,Barèmes!$AB$65:$AB$148,Barèmes!$L$65:$L$148)*(1-F50)+LOOKUP($A50,Barèmes!$AB$65:$AB$148,Barèmes!$M$65:$M$148))</f>
        <v>15130.960836929511</v>
      </c>
      <c r="I50" s="56">
        <f>G50*((IF($A50&gt;=2019,1-$F50,1))*(LOOKUP($A50,Barèmes!$A$65:$A$148,Barèmes!$AD$65:$AD$148)*LOOKUP($A50,Barèmes!$A$65:$A$148,Barèmes!$AI$65:$AI$148)+LOOKUP($A50,Barèmes!$A$65:$A$148,Barèmes!$AR$65:$AR$148)+IF(C50&gt;=LOOKUP($A50,Barèmes!$A$65:$A$148,Barèmes!$V$65:$V$148),LOOKUP($A50,Barèmes!$A$65:$A$148,Barèmes!$AM$65:$AM$148),0)))+G50*(LOOKUP($A50,Barèmes!$A$65:$A$148,Barèmes!$AE$65:$AE$148)*LOOKUP($A50,Barèmes!$A$65:$A$148,Barèmes!$AI$65:$AI$148)+LOOKUP($A50,Barèmes!$A$65:$A$148,Barèmes!$AS$65:$AS$148)+IF(C50&gt;=LOOKUP($A50,Barèmes!$A$65:$A$148,Barèmes!$V$65:$V$148),LOOKUP($A50,Barèmes!$A$65:$A$148,Barèmes!$AN$65:$AN$148),0))</f>
        <v>8544.9437425003634</v>
      </c>
      <c r="J50" s="220">
        <f>IF(AND($B50&gt;=Simulation!$D$5,$B50&lt;Simulation!$D$6,$I50=0,Simulation!$D$14="Chômage",Simulation!$D$17="Oui"),IF(G49&gt;0,G49*0.03,J49),0)</f>
        <v>0</v>
      </c>
      <c r="K50" s="181">
        <f>Salaires!F40</f>
        <v>0</v>
      </c>
      <c r="L50" s="56">
        <f>K50*(LOOKUP($A50,Barèmes!$AB$65:$AB$148,Barèmes!$O$65:$O$148)*(1-$F50)+LOOKUP($A50,Barèmes!$AB$65:$AB$148,Barèmes!$P$65:$P$148))</f>
        <v>0</v>
      </c>
      <c r="M50" s="56">
        <f>Salaires!E40</f>
        <v>0</v>
      </c>
      <c r="N50" s="56">
        <f>M50*((IF($A50&gt;=2019,1-$F50,1))*(LOOKUP($A50,Barèmes!$A$65:$A$148,Barèmes!$AG$65:$AG$148)*LOOKUP($A50,Barèmes!$A$65:$A$148,Barèmes!$AI$65:$AI$148)+LOOKUP($A50,Barèmes!$A$65:$A$148,Barèmes!$AW$65:$AW$148)+IF($C50&gt;=LOOKUP($A50,Barèmes!$A$65:$A$148,Barèmes!$V$65:$V$148),LOOKUP($A50,Barèmes!$A$65:$A$148,Barèmes!$AM$65:$AM$148),0)))+M50*(LOOKUP($A50,Barèmes!$A$65:$A$148,Barèmes!$AH$65:$AH$148)*LOOKUP($A50,Barèmes!$A$65:$A$148,Barèmes!$AI$65:$AI$148)+LOOKUP($A50,Barèmes!$A$65:$A$148,Barèmes!$AX$65:$AX$148)+IF($C50&gt;=LOOKUP($A50,Barèmes!$A$65:$A$148,Barèmes!$V$65:$V$148),LOOKUP($A50,Barèmes!$A$65:$A$148,Barèmes!$AN$65:$AN$148),0))</f>
        <v>0</v>
      </c>
      <c r="O50" s="56">
        <f>IF(AND($B50&gt;=Simulation!$D$5,$B50&lt;Simulation!$D$6,$N50=0,Simulation!$D$14="Chômage",Simulation!$D$17="Oui"),IF(M49&gt;0,M49*0.03,O49),0)</f>
        <v>0</v>
      </c>
      <c r="Q50" s="91">
        <f t="shared" si="0"/>
        <v>23675.904579429873</v>
      </c>
      <c r="R50" s="56"/>
      <c r="S50" s="56">
        <f>G50*LOOKUP($A50,Barèmes!$A$65:$A$148,Barèmes!$AC$65:$AC$148)</f>
        <v>5285.1806867021396</v>
      </c>
      <c r="T50" s="56">
        <f>IF(AND($D50=0,Simulation!$D$14="Chômage",Simulation!$D$17="Oui",$B50&gt;=Simulation!$D$5,$B50&lt;Simulation!$D$6),IF($T49&lt;&gt;0,$T49,0),S50/LOOKUP($A50,Barèmes!$AB$65:$AB$148,Barèmes!$BA$65:$BA$148))</f>
        <v>158.0378466532747</v>
      </c>
      <c r="U50" s="181">
        <f>K50*LOOKUP($A50,Barèmes!$A$65:$A$148,Barèmes!$AF$65:$AF$148)</f>
        <v>0</v>
      </c>
      <c r="V50" s="56">
        <f>IF(AND($D50=0,Simulation!$D$14="Chômage",Simulation!$D$17="Oui",$B50&gt;=Simulation!$D$5,$B50&lt;Simulation!$D$6),IF($V49&lt;&gt;0,$V49,0),U50/LOOKUP($A50,Barèmes!$AB$65:$AB$148,Barèmes!$BA$65:$BA$148))</f>
        <v>0</v>
      </c>
      <c r="X50" s="80">
        <f>IF($B50=Simulation!$D$6,1,X51*(1+LOOKUP($A50,Barèmes!$A$65:$A$148,Barèmes!$T$65:$T$148)))</f>
        <v>1.2749168192580616</v>
      </c>
      <c r="Y50" s="358">
        <f t="shared" si="1"/>
        <v>108680.28425765346</v>
      </c>
      <c r="Z50" s="43">
        <f t="shared" si="2"/>
        <v>14</v>
      </c>
      <c r="AA50" s="56">
        <f>IF(AND($B50&gt;=Simulation!$D$5,$B50&lt;Simulation!$D$6),IF(AND(Simulation!$D$14="Enfants",Simulation!$D$10&gt;0,Simulation!$D$21="Oui",Info_cas_type!$H38=0),4,0),0)</f>
        <v>0</v>
      </c>
      <c r="AB50" s="56">
        <f>IF(AND(Simulation!$D$14="Chômage",Simulation!$D$18="Oui",$B50&gt;=Simulation!$D$5,$B50&lt;Simulation!$D$6,$C50=0),4,0)</f>
        <v>0</v>
      </c>
      <c r="AC50" s="81">
        <f>MIN(4,MIN($C50,LOOKUP($A50,Barèmes!$A$65:$A$148,Barèmes!$V$65:$V$148))/LOOKUP($A50,Barèmes!$A$65:$A$148,Barèmes!$S$65:$S$148))</f>
        <v>4</v>
      </c>
    </row>
    <row r="51" spans="1:29" x14ac:dyDescent="0.25">
      <c r="A51" s="15">
        <f>B51+Simulation!$D$4</f>
        <v>2051</v>
      </c>
      <c r="B51" s="273">
        <v>51</v>
      </c>
      <c r="C51" s="352">
        <f>Salaires!C41</f>
        <v>87911.710513228318</v>
      </c>
      <c r="D51" s="56">
        <f>IF(AND(Simulation!$D$10&gt;0,Simulation!$D$21="Oui",$B51&gt;=Simulation!$D$5,$B51&lt;Simulation!$D$6),IF($C51&gt;0,C51,LOOKUP($A51,Barèmes!$A$65:$A$148,Barèmes!$W$65:$W$148)),MIN($C51,LOOKUP($A51,Barèmes!$A$65:$A$148,Barèmes!$V$65:$V$148)))</f>
        <v>87911.710513228318</v>
      </c>
      <c r="E51" s="56"/>
      <c r="F51" s="63">
        <f>IF(Simulation!$D$44="Oui",IF(C51=0,0,MIN(1,MAX(0,(1.6*LOOKUP(A51,Barèmes!$A$65:$A$148,Barèmes!$F$65:$F$148)/C51-1)/0.6))),0)</f>
        <v>0</v>
      </c>
      <c r="G51" s="181">
        <f>Salaires!D41</f>
        <v>87911.710513228318</v>
      </c>
      <c r="H51" s="56">
        <f>G51*(LOOKUP($A51,Barèmes!$AB$65:$AB$148,Barèmes!$L$65:$L$148)*(1-F51)+LOOKUP($A51,Barèmes!$AB$65:$AB$148,Barèmes!$M$65:$M$148))</f>
        <v>15604.328616098026</v>
      </c>
      <c r="I51" s="56">
        <f>G51*((IF($A51&gt;=2019,1-$F51,1))*(LOOKUP($A51,Barèmes!$A$65:$A$148,Barèmes!$AD$65:$AD$148)*LOOKUP($A51,Barèmes!$A$65:$A$148,Barèmes!$AI$65:$AI$148)+LOOKUP($A51,Barèmes!$A$65:$A$148,Barèmes!$AR$65:$AR$148)+IF(C51&gt;=LOOKUP($A51,Barèmes!$A$65:$A$148,Barèmes!$V$65:$V$148),LOOKUP($A51,Barèmes!$A$65:$A$148,Barèmes!$AM$65:$AM$148),0)))+G51*(LOOKUP($A51,Barèmes!$A$65:$A$148,Barèmes!$AE$65:$AE$148)*LOOKUP($A51,Barèmes!$A$65:$A$148,Barèmes!$AI$65:$AI$148)+LOOKUP($A51,Barèmes!$A$65:$A$148,Barèmes!$AS$65:$AS$148)+IF(C51&gt;=LOOKUP($A51,Barèmes!$A$65:$A$148,Barèmes!$V$65:$V$148),LOOKUP($A51,Barèmes!$A$65:$A$148,Barèmes!$AN$65:$AN$148),0))</f>
        <v>8812.2698618460072</v>
      </c>
      <c r="J51" s="220">
        <f>IF(AND($B51&gt;=Simulation!$D$5,$B51&lt;Simulation!$D$6,$I51=0,Simulation!$D$14="Chômage",Simulation!$D$17="Oui"),IF(G50&gt;0,G50*0.03,J50),0)</f>
        <v>0</v>
      </c>
      <c r="K51" s="181">
        <f>Salaires!F41</f>
        <v>0</v>
      </c>
      <c r="L51" s="56">
        <f>K51*(LOOKUP($A51,Barèmes!$AB$65:$AB$148,Barèmes!$O$65:$O$148)*(1-$F51)+LOOKUP($A51,Barèmes!$AB$65:$AB$148,Barèmes!$P$65:$P$148))</f>
        <v>0</v>
      </c>
      <c r="M51" s="56">
        <f>Salaires!E41</f>
        <v>0</v>
      </c>
      <c r="N51" s="56">
        <f>M51*((IF($A51&gt;=2019,1-$F51,1))*(LOOKUP($A51,Barèmes!$A$65:$A$148,Barèmes!$AG$65:$AG$148)*LOOKUP($A51,Barèmes!$A$65:$A$148,Barèmes!$AI$65:$AI$148)+LOOKUP($A51,Barèmes!$A$65:$A$148,Barèmes!$AW$65:$AW$148)+IF($C51&gt;=LOOKUP($A51,Barèmes!$A$65:$A$148,Barèmes!$V$65:$V$148),LOOKUP($A51,Barèmes!$A$65:$A$148,Barèmes!$AM$65:$AM$148),0)))+M51*(LOOKUP($A51,Barèmes!$A$65:$A$148,Barèmes!$AH$65:$AH$148)*LOOKUP($A51,Barèmes!$A$65:$A$148,Barèmes!$AI$65:$AI$148)+LOOKUP($A51,Barèmes!$A$65:$A$148,Barèmes!$AX$65:$AX$148)+IF($C51&gt;=LOOKUP($A51,Barèmes!$A$65:$A$148,Barèmes!$V$65:$V$148),LOOKUP($A51,Barèmes!$A$65:$A$148,Barèmes!$AN$65:$AN$148),0))</f>
        <v>0</v>
      </c>
      <c r="O51" s="56">
        <f>IF(AND($B51&gt;=Simulation!$D$5,$B51&lt;Simulation!$D$6,$N51=0,Simulation!$D$14="Chômage",Simulation!$D$17="Oui"),IF(M50&gt;0,M50*0.03,O50),0)</f>
        <v>0</v>
      </c>
      <c r="Q51" s="91">
        <f t="shared" si="0"/>
        <v>24416.598477944033</v>
      </c>
      <c r="R51" s="56"/>
      <c r="S51" s="56">
        <f>G51*LOOKUP($A51,Barèmes!$A$65:$A$148,Barèmes!$AC$65:$AC$148)</f>
        <v>5450.5260518201558</v>
      </c>
      <c r="T51" s="56">
        <f>IF(AND($D51=0,Simulation!$D$14="Chômage",Simulation!$D$17="Oui",$B51&gt;=Simulation!$D$5,$B51&lt;Simulation!$D$6),IF($T50&lt;&gt;0,$T50,0),S51/LOOKUP($A51,Barèmes!$AB$65:$AB$148,Barèmes!$BA$65:$BA$148))</f>
        <v>159.9271756599706</v>
      </c>
      <c r="U51" s="181">
        <f>K51*LOOKUP($A51,Barèmes!$A$65:$A$148,Barèmes!$AF$65:$AF$148)</f>
        <v>0</v>
      </c>
      <c r="V51" s="56">
        <f>IF(AND($D51=0,Simulation!$D$14="Chômage",Simulation!$D$17="Oui",$B51&gt;=Simulation!$D$5,$B51&lt;Simulation!$D$6),IF($V50&lt;&gt;0,$V50,0),U51/LOOKUP($A51,Barèmes!$AB$65:$AB$148,Barèmes!$BA$65:$BA$148))</f>
        <v>0</v>
      </c>
      <c r="X51" s="80">
        <f>IF($B51=Simulation!$D$6,1,X52*(1+LOOKUP($A51,Barèmes!$A$65:$A$148,Barèmes!$T$65:$T$148)))</f>
        <v>1.2529895029563258</v>
      </c>
      <c r="Y51" s="358">
        <f t="shared" si="1"/>
        <v>110152.81318389652</v>
      </c>
      <c r="Z51" s="43">
        <f t="shared" si="2"/>
        <v>12</v>
      </c>
      <c r="AA51" s="56">
        <f>IF(AND($B51&gt;=Simulation!$D$5,$B51&lt;Simulation!$D$6),IF(AND(Simulation!$D$14="Enfants",Simulation!$D$10&gt;0,Simulation!$D$21="Oui",Info_cas_type!$H39=0),4,0),0)</f>
        <v>0</v>
      </c>
      <c r="AB51" s="56">
        <f>IF(AND(Simulation!$D$14="Chômage",Simulation!$D$18="Oui",$B51&gt;=Simulation!$D$5,$B51&lt;Simulation!$D$6,$C51=0),4,0)</f>
        <v>0</v>
      </c>
      <c r="AC51" s="81">
        <f>MIN(4,MIN($C51,LOOKUP($A51,Barèmes!$A$65:$A$148,Barèmes!$V$65:$V$148))/LOOKUP($A51,Barèmes!$A$65:$A$148,Barèmes!$S$65:$S$148))</f>
        <v>4</v>
      </c>
    </row>
    <row r="52" spans="1:29" x14ac:dyDescent="0.25">
      <c r="A52" s="15">
        <f>B52+Simulation!$D$4</f>
        <v>2052</v>
      </c>
      <c r="B52" s="273">
        <v>52</v>
      </c>
      <c r="C52" s="352">
        <f>Salaires!C42</f>
        <v>89089.066352199225</v>
      </c>
      <c r="D52" s="56">
        <f>IF(AND(Simulation!$D$10&gt;0,Simulation!$D$21="Oui",$B52&gt;=Simulation!$D$5,$B52&lt;Simulation!$D$6),IF($C52&gt;0,C52,LOOKUP($A52,Barèmes!$A$65:$A$148,Barèmes!$W$65:$W$148)),MIN($C52,LOOKUP($A52,Barèmes!$A$65:$A$148,Barèmes!$V$65:$V$148)))</f>
        <v>89089.066352199225</v>
      </c>
      <c r="E52" s="56"/>
      <c r="F52" s="63">
        <f>IF(Simulation!$D$44="Oui",IF(C52=0,0,MIN(1,MAX(0,(1.6*LOOKUP(A52,Barèmes!$A$65:$A$148,Barèmes!$F$65:$F$148)/C52-1)/0.6))),0)</f>
        <v>0</v>
      </c>
      <c r="G52" s="181">
        <f>Salaires!D42</f>
        <v>89089.066352199225</v>
      </c>
      <c r="H52" s="56">
        <f>G52*(LOOKUP($A52,Barèmes!$AB$65:$AB$148,Barèmes!$L$65:$L$148)*(1-F52)+LOOKUP($A52,Barèmes!$AB$65:$AB$148,Barèmes!$M$65:$M$148))</f>
        <v>15813.309277515362</v>
      </c>
      <c r="I52" s="56">
        <f>G52*((IF($A52&gt;=2019,1-$F52,1))*(LOOKUP($A52,Barèmes!$A$65:$A$148,Barèmes!$AD$65:$AD$148)*LOOKUP($A52,Barèmes!$A$65:$A$148,Barèmes!$AI$65:$AI$148)+LOOKUP($A52,Barèmes!$A$65:$A$148,Barèmes!$AR$65:$AR$148)+IF(C52&gt;=LOOKUP($A52,Barèmes!$A$65:$A$148,Barèmes!$V$65:$V$148),LOOKUP($A52,Barèmes!$A$65:$A$148,Barèmes!$AM$65:$AM$148),0)))+G52*(LOOKUP($A52,Barèmes!$A$65:$A$148,Barèmes!$AE$65:$AE$148)*LOOKUP($A52,Barèmes!$A$65:$A$148,Barèmes!$AI$65:$AI$148)+LOOKUP($A52,Barèmes!$A$65:$A$148,Barèmes!$AS$65:$AS$148)+IF(C52&gt;=LOOKUP($A52,Barèmes!$A$65:$A$148,Barèmes!$V$65:$V$148),LOOKUP($A52,Barèmes!$A$65:$A$148,Barèmes!$AN$65:$AN$148),0))</f>
        <v>8930.2880111444501</v>
      </c>
      <c r="J52" s="220">
        <f>IF(AND($B52&gt;=Simulation!$D$5,$B52&lt;Simulation!$D$6,$I52=0,Simulation!$D$14="Chômage",Simulation!$D$17="Oui"),IF(G51&gt;0,G51*0.03,J51),0)</f>
        <v>0</v>
      </c>
      <c r="K52" s="181">
        <f>Salaires!F42</f>
        <v>0</v>
      </c>
      <c r="L52" s="56">
        <f>K52*(LOOKUP($A52,Barèmes!$AB$65:$AB$148,Barèmes!$O$65:$O$148)*(1-$F52)+LOOKUP($A52,Barèmes!$AB$65:$AB$148,Barèmes!$P$65:$P$148))</f>
        <v>0</v>
      </c>
      <c r="M52" s="56">
        <f>Salaires!E42</f>
        <v>0</v>
      </c>
      <c r="N52" s="56">
        <f>M52*((IF($A52&gt;=2019,1-$F52,1))*(LOOKUP($A52,Barèmes!$A$65:$A$148,Barèmes!$AG$65:$AG$148)*LOOKUP($A52,Barèmes!$A$65:$A$148,Barèmes!$AI$65:$AI$148)+LOOKUP($A52,Barèmes!$A$65:$A$148,Barèmes!$AW$65:$AW$148)+IF($C52&gt;=LOOKUP($A52,Barèmes!$A$65:$A$148,Barèmes!$V$65:$V$148),LOOKUP($A52,Barèmes!$A$65:$A$148,Barèmes!$AM$65:$AM$148),0)))+M52*(LOOKUP($A52,Barèmes!$A$65:$A$148,Barèmes!$AH$65:$AH$148)*LOOKUP($A52,Barèmes!$A$65:$A$148,Barèmes!$AI$65:$AI$148)+LOOKUP($A52,Barèmes!$A$65:$A$148,Barèmes!$AX$65:$AX$148)+IF($C52&gt;=LOOKUP($A52,Barèmes!$A$65:$A$148,Barèmes!$V$65:$V$148),LOOKUP($A52,Barèmes!$A$65:$A$148,Barèmes!$AN$65:$AN$148),0))</f>
        <v>0</v>
      </c>
      <c r="O52" s="56">
        <f>IF(AND($B52&gt;=Simulation!$D$5,$B52&lt;Simulation!$D$6,$N52=0,Simulation!$D$14="Chômage",Simulation!$D$17="Oui"),IF(M51&gt;0,M51*0.03,O51),0)</f>
        <v>0</v>
      </c>
      <c r="Q52" s="91">
        <f t="shared" si="0"/>
        <v>24743.59728865981</v>
      </c>
      <c r="R52" s="56"/>
      <c r="S52" s="56">
        <f>G52*LOOKUP($A52,Barèmes!$A$65:$A$148,Barèmes!$AC$65:$AC$148)</f>
        <v>5523.5221138363522</v>
      </c>
      <c r="T52" s="56">
        <f>IF(AND($D52=0,Simulation!$D$14="Chômage",Simulation!$D$17="Oui",$B52&gt;=Simulation!$D$5,$B52&lt;Simulation!$D$6),IF($T51&lt;&gt;0,$T51,0),S52/LOOKUP($A52,Barèmes!$AB$65:$AB$148,Barèmes!$BA$65:$BA$148))</f>
        <v>159.03127963988425</v>
      </c>
      <c r="U52" s="181">
        <f>K52*LOOKUP($A52,Barèmes!$A$65:$A$148,Barèmes!$AF$65:$AF$148)</f>
        <v>0</v>
      </c>
      <c r="V52" s="56">
        <f>IF(AND($D52=0,Simulation!$D$14="Chômage",Simulation!$D$17="Oui",$B52&gt;=Simulation!$D$5,$B52&lt;Simulation!$D$6),IF($V51&lt;&gt;0,$V51,0),U52/LOOKUP($A52,Barèmes!$AB$65:$AB$148,Barèmes!$BA$65:$BA$148))</f>
        <v>0</v>
      </c>
      <c r="X52" s="80">
        <f>IF($B52=Simulation!$D$6,1,X53*(1+LOOKUP($A52,Barèmes!$A$65:$A$148,Barèmes!$T$65:$T$148)))</f>
        <v>1.231439314944792</v>
      </c>
      <c r="Y52" s="358">
        <f t="shared" si="1"/>
        <v>109707.69712911657</v>
      </c>
      <c r="Z52" s="43">
        <f t="shared" si="2"/>
        <v>13</v>
      </c>
      <c r="AA52" s="56">
        <f>IF(AND($B52&gt;=Simulation!$D$5,$B52&lt;Simulation!$D$6),IF(AND(Simulation!$D$14="Enfants",Simulation!$D$10&gt;0,Simulation!$D$21="Oui",Info_cas_type!$H40=0),4,0),0)</f>
        <v>0</v>
      </c>
      <c r="AB52" s="56">
        <f>IF(AND(Simulation!$D$14="Chômage",Simulation!$D$18="Oui",$B52&gt;=Simulation!$D$5,$B52&lt;Simulation!$D$6,$C52=0),4,0)</f>
        <v>0</v>
      </c>
      <c r="AC52" s="81">
        <f>MIN(4,MIN($C52,LOOKUP($A52,Barèmes!$A$65:$A$148,Barèmes!$V$65:$V$148))/LOOKUP($A52,Barèmes!$A$65:$A$148,Barèmes!$S$65:$S$148))</f>
        <v>4</v>
      </c>
    </row>
    <row r="53" spans="1:29" x14ac:dyDescent="0.25">
      <c r="A53" s="15">
        <f>B53+Simulation!$D$4</f>
        <v>2053</v>
      </c>
      <c r="B53" s="273">
        <v>53</v>
      </c>
      <c r="C53" s="352">
        <f>Salaires!C43</f>
        <v>91642.545705815952</v>
      </c>
      <c r="D53" s="56">
        <f>IF(AND(Simulation!$D$10&gt;0,Simulation!$D$21="Oui",$B53&gt;=Simulation!$D$5,$B53&lt;Simulation!$D$6),IF($C53&gt;0,C53,LOOKUP($A53,Barèmes!$A$65:$A$148,Barèmes!$W$65:$W$148)),MIN($C53,LOOKUP($A53,Barèmes!$A$65:$A$148,Barèmes!$V$65:$V$148)))</f>
        <v>91642.545705815952</v>
      </c>
      <c r="E53" s="56"/>
      <c r="F53" s="63">
        <f>IF(Simulation!$D$44="Oui",IF(C53=0,0,MIN(1,MAX(0,(1.6*LOOKUP(A53,Barèmes!$A$65:$A$148,Barèmes!$F$65:$F$148)/C53-1)/0.6))),0)</f>
        <v>0</v>
      </c>
      <c r="G53" s="181">
        <f>Salaires!D43</f>
        <v>91642.545705815952</v>
      </c>
      <c r="H53" s="56">
        <f>G53*(LOOKUP($A53,Barèmes!$AB$65:$AB$148,Barèmes!$L$65:$L$148)*(1-F53)+LOOKUP($A53,Barèmes!$AB$65:$AB$148,Barèmes!$M$65:$M$148))</f>
        <v>16266.551862782331</v>
      </c>
      <c r="I53" s="56">
        <f>G53*((IF($A53&gt;=2019,1-$F53,1))*(LOOKUP($A53,Barèmes!$A$65:$A$148,Barèmes!$AD$65:$AD$148)*LOOKUP($A53,Barèmes!$A$65:$A$148,Barèmes!$AI$65:$AI$148)+LOOKUP($A53,Barèmes!$A$65:$A$148,Barèmes!$AR$65:$AR$148)+IF(C53&gt;=LOOKUP($A53,Barèmes!$A$65:$A$148,Barèmes!$V$65:$V$148),LOOKUP($A53,Barèmes!$A$65:$A$148,Barèmes!$AM$65:$AM$148),0)))+G53*(LOOKUP($A53,Barèmes!$A$65:$A$148,Barèmes!$AE$65:$AE$148)*LOOKUP($A53,Barèmes!$A$65:$A$148,Barèmes!$AI$65:$AI$148)+LOOKUP($A53,Barèmes!$A$65:$A$148,Barèmes!$AS$65:$AS$148)+IF(C53&gt;=LOOKUP($A53,Barèmes!$A$65:$A$148,Barèmes!$V$65:$V$148),LOOKUP($A53,Barèmes!$A$65:$A$148,Barèmes!$AN$65:$AN$148),0))</f>
        <v>9186.2487815509921</v>
      </c>
      <c r="J53" s="220">
        <f>IF(AND($B53&gt;=Simulation!$D$5,$B53&lt;Simulation!$D$6,$I53=0,Simulation!$D$14="Chômage",Simulation!$D$17="Oui"),IF(G52&gt;0,G52*0.03,J52),0)</f>
        <v>0</v>
      </c>
      <c r="K53" s="181">
        <f>Salaires!F43</f>
        <v>0</v>
      </c>
      <c r="L53" s="56">
        <f>K53*(LOOKUP($A53,Barèmes!$AB$65:$AB$148,Barèmes!$O$65:$O$148)*(1-$F53)+LOOKUP($A53,Barèmes!$AB$65:$AB$148,Barèmes!$P$65:$P$148))</f>
        <v>0</v>
      </c>
      <c r="M53" s="56">
        <f>Salaires!E43</f>
        <v>0</v>
      </c>
      <c r="N53" s="56">
        <f>M53*((IF($A53&gt;=2019,1-$F53,1))*(LOOKUP($A53,Barèmes!$A$65:$A$148,Barèmes!$AG$65:$AG$148)*LOOKUP($A53,Barèmes!$A$65:$A$148,Barèmes!$AI$65:$AI$148)+LOOKUP($A53,Barèmes!$A$65:$A$148,Barèmes!$AW$65:$AW$148)+IF($C53&gt;=LOOKUP($A53,Barèmes!$A$65:$A$148,Barèmes!$V$65:$V$148),LOOKUP($A53,Barèmes!$A$65:$A$148,Barèmes!$AM$65:$AM$148),0)))+M53*(LOOKUP($A53,Barèmes!$A$65:$A$148,Barèmes!$AH$65:$AH$148)*LOOKUP($A53,Barèmes!$A$65:$A$148,Barèmes!$AI$65:$AI$148)+LOOKUP($A53,Barèmes!$A$65:$A$148,Barèmes!$AX$65:$AX$148)+IF($C53&gt;=LOOKUP($A53,Barèmes!$A$65:$A$148,Barèmes!$V$65:$V$148),LOOKUP($A53,Barèmes!$A$65:$A$148,Barèmes!$AN$65:$AN$148),0))</f>
        <v>0</v>
      </c>
      <c r="O53" s="56">
        <f>IF(AND($B53&gt;=Simulation!$D$5,$B53&lt;Simulation!$D$6,$N53=0,Simulation!$D$14="Chômage",Simulation!$D$17="Oui"),IF(M52&gt;0,M52*0.03,O52),0)</f>
        <v>0</v>
      </c>
      <c r="Q53" s="91">
        <f t="shared" si="0"/>
        <v>25452.800644333322</v>
      </c>
      <c r="R53" s="56"/>
      <c r="S53" s="56">
        <f>G53*LOOKUP($A53,Barèmes!$A$65:$A$148,Barèmes!$AC$65:$AC$148)</f>
        <v>5681.8378337605891</v>
      </c>
      <c r="T53" s="56">
        <f>IF(AND($D53=0,Simulation!$D$14="Chômage",Simulation!$D$17="Oui",$B53&gt;=Simulation!$D$5,$B53&lt;Simulation!$D$6),IF($T52&lt;&gt;0,$T52,0),S53/LOOKUP($A53,Barèmes!$AB$65:$AB$148,Barèmes!$BA$65:$BA$148))</f>
        <v>160.52339221319508</v>
      </c>
      <c r="U53" s="181">
        <f>K53*LOOKUP($A53,Barèmes!$A$65:$A$148,Barèmes!$AF$65:$AF$148)</f>
        <v>0</v>
      </c>
      <c r="V53" s="56">
        <f>IF(AND($D53=0,Simulation!$D$14="Chômage",Simulation!$D$17="Oui",$B53&gt;=Simulation!$D$5,$B53&lt;Simulation!$D$6),IF($V52&lt;&gt;0,$V52,0),U53/LOOKUP($A53,Barèmes!$AB$65:$AB$148,Barèmes!$BA$65:$BA$148))</f>
        <v>0</v>
      </c>
      <c r="X53" s="80">
        <f>IF($B53=Simulation!$D$6,1,X54*(1+LOOKUP($A53,Barèmes!$A$65:$A$148,Barèmes!$T$65:$T$148)))</f>
        <v>1.2102597689875105</v>
      </c>
      <c r="Y53" s="358">
        <f t="shared" si="1"/>
        <v>110911.83600932243</v>
      </c>
      <c r="Z53" s="43">
        <f t="shared" si="2"/>
        <v>11</v>
      </c>
      <c r="AA53" s="56">
        <f>IF(AND($B53&gt;=Simulation!$D$5,$B53&lt;Simulation!$D$6),IF(AND(Simulation!$D$14="Enfants",Simulation!$D$10&gt;0,Simulation!$D$21="Oui",Info_cas_type!$H41=0),4,0),0)</f>
        <v>0</v>
      </c>
      <c r="AB53" s="56">
        <f>IF(AND(Simulation!$D$14="Chômage",Simulation!$D$18="Oui",$B53&gt;=Simulation!$D$5,$B53&lt;Simulation!$D$6,$C53=0),4,0)</f>
        <v>0</v>
      </c>
      <c r="AC53" s="81">
        <f>MIN(4,MIN($C53,LOOKUP($A53,Barèmes!$A$65:$A$148,Barèmes!$V$65:$V$148))/LOOKUP($A53,Barèmes!$A$65:$A$148,Barèmes!$S$65:$S$148))</f>
        <v>4</v>
      </c>
    </row>
    <row r="54" spans="1:29" x14ac:dyDescent="0.25">
      <c r="A54" s="15">
        <f>B54+Simulation!$D$4</f>
        <v>2054</v>
      </c>
      <c r="B54" s="273">
        <v>54</v>
      </c>
      <c r="C54" s="352">
        <f>Salaires!C44</f>
        <v>93424.22351496901</v>
      </c>
      <c r="D54" s="56">
        <f>IF(AND(Simulation!$D$10&gt;0,Simulation!$D$21="Oui",$B54&gt;=Simulation!$D$5,$B54&lt;Simulation!$D$6),IF($C54&gt;0,C54,LOOKUP($A54,Barèmes!$A$65:$A$148,Barèmes!$W$65:$W$148)),MIN($C54,LOOKUP($A54,Barèmes!$A$65:$A$148,Barèmes!$V$65:$V$148)))</f>
        <v>93424.22351496901</v>
      </c>
      <c r="E54" s="56"/>
      <c r="F54" s="63">
        <f>IF(Simulation!$D$44="Oui",IF(C54=0,0,MIN(1,MAX(0,(1.6*LOOKUP(A54,Barèmes!$A$65:$A$148,Barèmes!$F$65:$F$148)/C54-1)/0.6))),0)</f>
        <v>0</v>
      </c>
      <c r="G54" s="181">
        <f>Salaires!D44</f>
        <v>93424.22351496901</v>
      </c>
      <c r="H54" s="56">
        <f>G54*(LOOKUP($A54,Barèmes!$AB$65:$AB$148,Barèmes!$L$65:$L$148)*(1-F54)+LOOKUP($A54,Barèmes!$AB$65:$AB$148,Barèmes!$M$65:$M$148))</f>
        <v>16582.799673906997</v>
      </c>
      <c r="I54" s="56">
        <f>G54*((IF($A54&gt;=2019,1-$F54,1))*(LOOKUP($A54,Barèmes!$A$65:$A$148,Barèmes!$AD$65:$AD$148)*LOOKUP($A54,Barèmes!$A$65:$A$148,Barèmes!$AI$65:$AI$148)+LOOKUP($A54,Barèmes!$A$65:$A$148,Barèmes!$AR$65:$AR$148)+IF(C54&gt;=LOOKUP($A54,Barèmes!$A$65:$A$148,Barèmes!$V$65:$V$148),LOOKUP($A54,Barèmes!$A$65:$A$148,Barèmes!$AM$65:$AM$148),0)))+G54*(LOOKUP($A54,Barèmes!$A$65:$A$148,Barèmes!$AE$65:$AE$148)*LOOKUP($A54,Barèmes!$A$65:$A$148,Barèmes!$AI$65:$AI$148)+LOOKUP($A54,Barèmes!$A$65:$A$148,Barèmes!$AS$65:$AS$148)+IF(C54&gt;=LOOKUP($A54,Barèmes!$A$65:$A$148,Barèmes!$V$65:$V$148),LOOKUP($A54,Barèmes!$A$65:$A$148,Barèmes!$AN$65:$AN$148),0))</f>
        <v>9364.8441651404937</v>
      </c>
      <c r="J54" s="220">
        <f>IF(AND($B54&gt;=Simulation!$D$5,$B54&lt;Simulation!$D$6,$I54=0,Simulation!$D$14="Chômage",Simulation!$D$17="Oui"),IF(G53&gt;0,G53*0.03,J53),0)</f>
        <v>0</v>
      </c>
      <c r="K54" s="181">
        <f>Salaires!F44</f>
        <v>0</v>
      </c>
      <c r="L54" s="56">
        <f>K54*(LOOKUP($A54,Barèmes!$AB$65:$AB$148,Barèmes!$O$65:$O$148)*(1-$F54)+LOOKUP($A54,Barèmes!$AB$65:$AB$148,Barèmes!$P$65:$P$148))</f>
        <v>0</v>
      </c>
      <c r="M54" s="56">
        <f>Salaires!E44</f>
        <v>0</v>
      </c>
      <c r="N54" s="56">
        <f>M54*((IF($A54&gt;=2019,1-$F54,1))*(LOOKUP($A54,Barèmes!$A$65:$A$148,Barèmes!$AG$65:$AG$148)*LOOKUP($A54,Barèmes!$A$65:$A$148,Barèmes!$AI$65:$AI$148)+LOOKUP($A54,Barèmes!$A$65:$A$148,Barèmes!$AW$65:$AW$148)+IF($C54&gt;=LOOKUP($A54,Barèmes!$A$65:$A$148,Barèmes!$V$65:$V$148),LOOKUP($A54,Barèmes!$A$65:$A$148,Barèmes!$AM$65:$AM$148),0)))+M54*(LOOKUP($A54,Barèmes!$A$65:$A$148,Barèmes!$AH$65:$AH$148)*LOOKUP($A54,Barèmes!$A$65:$A$148,Barèmes!$AI$65:$AI$148)+LOOKUP($A54,Barèmes!$A$65:$A$148,Barèmes!$AX$65:$AX$148)+IF($C54&gt;=LOOKUP($A54,Barèmes!$A$65:$A$148,Barèmes!$V$65:$V$148),LOOKUP($A54,Barèmes!$A$65:$A$148,Barèmes!$AN$65:$AN$148),0))</f>
        <v>0</v>
      </c>
      <c r="O54" s="56">
        <f>IF(AND($B54&gt;=Simulation!$D$5,$B54&lt;Simulation!$D$6,$N54=0,Simulation!$D$14="Chômage",Simulation!$D$17="Oui"),IF(M53&gt;0,M53*0.03,O53),0)</f>
        <v>0</v>
      </c>
      <c r="Q54" s="91">
        <f t="shared" si="0"/>
        <v>25947.64383904749</v>
      </c>
      <c r="R54" s="56"/>
      <c r="S54" s="56">
        <f>G54*LOOKUP($A54,Barèmes!$A$65:$A$148,Barèmes!$AC$65:$AC$148)</f>
        <v>5792.3018579280788</v>
      </c>
      <c r="T54" s="56">
        <f>IF(AND($D54=0,Simulation!$D$14="Chômage",Simulation!$D$17="Oui",$B54&gt;=Simulation!$D$5,$B54&lt;Simulation!$D$6),IF($T53&lt;&gt;0,$T53,0),S54/LOOKUP($A54,Barèmes!$AB$65:$AB$148,Barèmes!$BA$65:$BA$148))</f>
        <v>160.57701190204199</v>
      </c>
      <c r="U54" s="181">
        <f>K54*LOOKUP($A54,Barèmes!$A$65:$A$148,Barèmes!$AF$65:$AF$148)</f>
        <v>0</v>
      </c>
      <c r="V54" s="56">
        <f>IF(AND($D54=0,Simulation!$D$14="Chômage",Simulation!$D$17="Oui",$B54&gt;=Simulation!$D$5,$B54&lt;Simulation!$D$6),IF($V53&lt;&gt;0,$V53,0),U54/LOOKUP($A54,Barèmes!$AB$65:$AB$148,Barèmes!$BA$65:$BA$148))</f>
        <v>0</v>
      </c>
      <c r="X54" s="80">
        <f>IF($B54=Simulation!$D$6,1,X55*(1+LOOKUP($A54,Barèmes!$A$65:$A$148,Barèmes!$T$65:$T$148)))</f>
        <v>1.1894444904054158</v>
      </c>
      <c r="Y54" s="358">
        <f t="shared" si="1"/>
        <v>111122.66207163557</v>
      </c>
      <c r="Z54" s="43">
        <f t="shared" si="2"/>
        <v>10</v>
      </c>
      <c r="AA54" s="56">
        <f>IF(AND($B54&gt;=Simulation!$D$5,$B54&lt;Simulation!$D$6),IF(AND(Simulation!$D$14="Enfants",Simulation!$D$10&gt;0,Simulation!$D$21="Oui",Info_cas_type!$H42=0),4,0),0)</f>
        <v>0</v>
      </c>
      <c r="AB54" s="56">
        <f>IF(AND(Simulation!$D$14="Chômage",Simulation!$D$18="Oui",$B54&gt;=Simulation!$D$5,$B54&lt;Simulation!$D$6,$C54=0),4,0)</f>
        <v>0</v>
      </c>
      <c r="AC54" s="81">
        <f>MIN(4,MIN($C54,LOOKUP($A54,Barèmes!$A$65:$A$148,Barèmes!$V$65:$V$148))/LOOKUP($A54,Barèmes!$A$65:$A$148,Barèmes!$S$65:$S$148))</f>
        <v>4</v>
      </c>
    </row>
    <row r="55" spans="1:29" x14ac:dyDescent="0.25">
      <c r="A55" s="15">
        <f>B55+Simulation!$D$4</f>
        <v>2055</v>
      </c>
      <c r="B55" s="273">
        <v>55</v>
      </c>
      <c r="C55" s="352">
        <f>Salaires!C45</f>
        <v>96347.954372394786</v>
      </c>
      <c r="D55" s="56">
        <f>IF(AND(Simulation!$D$10&gt;0,Simulation!$D$21="Oui",$B55&gt;=Simulation!$D$5,$B55&lt;Simulation!$D$6),IF($C55&gt;0,C55,LOOKUP($A55,Barèmes!$A$65:$A$148,Barèmes!$W$65:$W$148)),MIN($C55,LOOKUP($A55,Barèmes!$A$65:$A$148,Barèmes!$V$65:$V$148)))</f>
        <v>96347.954372394786</v>
      </c>
      <c r="E55" s="56"/>
      <c r="F55" s="63">
        <f>IF(Simulation!$D$44="Oui",IF(C55=0,0,MIN(1,MAX(0,(1.6*LOOKUP(A55,Barèmes!$A$65:$A$148,Barèmes!$F$65:$F$148)/C55-1)/0.6))),0)</f>
        <v>0</v>
      </c>
      <c r="G55" s="181">
        <f>Salaires!D45</f>
        <v>96347.954372394786</v>
      </c>
      <c r="H55" s="56">
        <f>G55*(LOOKUP($A55,Barèmes!$AB$65:$AB$148,Barèmes!$L$65:$L$148)*(1-F55)+LOOKUP($A55,Barèmes!$AB$65:$AB$148,Barèmes!$M$65:$M$148))</f>
        <v>17101.761901100075</v>
      </c>
      <c r="I55" s="56">
        <f>G55*((IF($A55&gt;=2019,1-$F55,1))*(LOOKUP($A55,Barèmes!$A$65:$A$148,Barèmes!$AD$65:$AD$148)*LOOKUP($A55,Barèmes!$A$65:$A$148,Barèmes!$AI$65:$AI$148)+LOOKUP($A55,Barèmes!$A$65:$A$148,Barèmes!$AR$65:$AR$148)+IF(C55&gt;=LOOKUP($A55,Barèmes!$A$65:$A$148,Barèmes!$V$65:$V$148),LOOKUP($A55,Barèmes!$A$65:$A$148,Barèmes!$AM$65:$AM$148),0)))+G55*(LOOKUP($A55,Barèmes!$A$65:$A$148,Barèmes!$AE$65:$AE$148)*LOOKUP($A55,Barèmes!$A$65:$A$148,Barèmes!$AI$65:$AI$148)+LOOKUP($A55,Barèmes!$A$65:$A$148,Barèmes!$AS$65:$AS$148)+IF(C55&gt;=LOOKUP($A55,Barèmes!$A$65:$A$148,Barèmes!$V$65:$V$148),LOOKUP($A55,Barèmes!$A$65:$A$148,Barèmes!$AN$65:$AN$148),0))</f>
        <v>9657.9189462888535</v>
      </c>
      <c r="J55" s="220">
        <f>IF(AND($B55&gt;=Simulation!$D$5,$B55&lt;Simulation!$D$6,$I55=0,Simulation!$D$14="Chômage",Simulation!$D$17="Oui"),IF(G54&gt;0,G54*0.03,J54),0)</f>
        <v>0</v>
      </c>
      <c r="K55" s="181">
        <f>Salaires!F45</f>
        <v>0</v>
      </c>
      <c r="L55" s="56">
        <f>K55*(LOOKUP($A55,Barèmes!$AB$65:$AB$148,Barèmes!$O$65:$O$148)*(1-$F55)+LOOKUP($A55,Barèmes!$AB$65:$AB$148,Barèmes!$P$65:$P$148))</f>
        <v>0</v>
      </c>
      <c r="M55" s="56">
        <f>Salaires!E45</f>
        <v>0</v>
      </c>
      <c r="N55" s="56">
        <f>M55*((IF($A55&gt;=2019,1-$F55,1))*(LOOKUP($A55,Barèmes!$A$65:$A$148,Barèmes!$AG$65:$AG$148)*LOOKUP($A55,Barèmes!$A$65:$A$148,Barèmes!$AI$65:$AI$148)+LOOKUP($A55,Barèmes!$A$65:$A$148,Barèmes!$AW$65:$AW$148)+IF($C55&gt;=LOOKUP($A55,Barèmes!$A$65:$A$148,Barèmes!$V$65:$V$148),LOOKUP($A55,Barèmes!$A$65:$A$148,Barèmes!$AM$65:$AM$148),0)))+M55*(LOOKUP($A55,Barèmes!$A$65:$A$148,Barèmes!$AH$65:$AH$148)*LOOKUP($A55,Barèmes!$A$65:$A$148,Barèmes!$AI$65:$AI$148)+LOOKUP($A55,Barèmes!$A$65:$A$148,Barèmes!$AX$65:$AX$148)+IF($C55&gt;=LOOKUP($A55,Barèmes!$A$65:$A$148,Barèmes!$V$65:$V$148),LOOKUP($A55,Barèmes!$A$65:$A$148,Barèmes!$AN$65:$AN$148),0))</f>
        <v>0</v>
      </c>
      <c r="O55" s="56">
        <f>IF(AND($B55&gt;=Simulation!$D$5,$B55&lt;Simulation!$D$6,$N55=0,Simulation!$D$14="Chômage",Simulation!$D$17="Oui"),IF(M54&gt;0,M54*0.03,O54),0)</f>
        <v>0</v>
      </c>
      <c r="Q55" s="91">
        <f t="shared" si="0"/>
        <v>26759.680847388929</v>
      </c>
      <c r="R55" s="56"/>
      <c r="S55" s="56">
        <f>G55*LOOKUP($A55,Barèmes!$A$65:$A$148,Barèmes!$AC$65:$AC$148)</f>
        <v>5973.5731710884766</v>
      </c>
      <c r="T55" s="56">
        <f>IF(AND($D55=0,Simulation!$D$14="Chômage",Simulation!$D$17="Oui",$B55&gt;=Simulation!$D$5,$B55&lt;Simulation!$D$6),IF($T54&lt;&gt;0,$T54,0),S55/LOOKUP($A55,Barèmes!$AB$65:$AB$148,Barèmes!$BA$65:$BA$148))</f>
        <v>162.49845408936901</v>
      </c>
      <c r="U55" s="181">
        <f>K55*LOOKUP($A55,Barèmes!$A$65:$A$148,Barèmes!$AF$65:$AF$148)</f>
        <v>0</v>
      </c>
      <c r="V55" s="56">
        <f>IF(AND($D55=0,Simulation!$D$14="Chômage",Simulation!$D$17="Oui",$B55&gt;=Simulation!$D$5,$B55&lt;Simulation!$D$6),IF($V54&lt;&gt;0,$V54,0),U55/LOOKUP($A55,Barèmes!$AB$65:$AB$148,Barèmes!$BA$65:$BA$148))</f>
        <v>0</v>
      </c>
      <c r="X55" s="80">
        <f>IF($B55=Simulation!$D$6,1,X56*(1+LOOKUP($A55,Barèmes!$A$65:$A$148,Barèmes!$T$65:$T$148)))</f>
        <v>1.1689872141576567</v>
      </c>
      <c r="Y55" s="358">
        <f t="shared" si="1"/>
        <v>112629.58010966191</v>
      </c>
      <c r="Z55" s="43">
        <f t="shared" si="2"/>
        <v>8</v>
      </c>
      <c r="AA55" s="56">
        <f>IF(AND($B55&gt;=Simulation!$D$5,$B55&lt;Simulation!$D$6),IF(AND(Simulation!$D$14="Enfants",Simulation!$D$10&gt;0,Simulation!$D$21="Oui",Info_cas_type!$H43=0),4,0),0)</f>
        <v>0</v>
      </c>
      <c r="AB55" s="56">
        <f>IF(AND(Simulation!$D$14="Chômage",Simulation!$D$18="Oui",$B55&gt;=Simulation!$D$5,$B55&lt;Simulation!$D$6,$C55=0),4,0)</f>
        <v>0</v>
      </c>
      <c r="AC55" s="81">
        <f>MIN(4,MIN($C55,LOOKUP($A55,Barèmes!$A$65:$A$148,Barèmes!$V$65:$V$148))/LOOKUP($A55,Barèmes!$A$65:$A$148,Barèmes!$S$65:$S$148))</f>
        <v>4</v>
      </c>
    </row>
    <row r="56" spans="1:29" x14ac:dyDescent="0.25">
      <c r="A56" s="15">
        <f>B56+Simulation!$D$4</f>
        <v>2056</v>
      </c>
      <c r="B56" s="273">
        <v>56</v>
      </c>
      <c r="C56" s="352">
        <f>Salaires!C46</f>
        <v>97430.297528749768</v>
      </c>
      <c r="D56" s="56">
        <f>IF(AND(Simulation!$D$10&gt;0,Simulation!$D$21="Oui",$B56&gt;=Simulation!$D$5,$B56&lt;Simulation!$D$6),IF($C56&gt;0,C56,LOOKUP($A56,Barèmes!$A$65:$A$148,Barèmes!$W$65:$W$148)),MIN($C56,LOOKUP($A56,Barèmes!$A$65:$A$148,Barèmes!$V$65:$V$148)))</f>
        <v>97430.297528749768</v>
      </c>
      <c r="E56" s="56"/>
      <c r="F56" s="63">
        <f>IF(Simulation!$D$44="Oui",IF(C56=0,0,MIN(1,MAX(0,(1.6*LOOKUP(A56,Barèmes!$A$65:$A$148,Barèmes!$F$65:$F$148)/C56-1)/0.6))),0)</f>
        <v>0</v>
      </c>
      <c r="G56" s="181">
        <f>Salaires!D46</f>
        <v>97430.297528749768</v>
      </c>
      <c r="H56" s="56">
        <f>G56*(LOOKUP($A56,Barèmes!$AB$65:$AB$148,Barèmes!$L$65:$L$148)*(1-F56)+LOOKUP($A56,Barèmes!$AB$65:$AB$148,Barèmes!$M$65:$M$148))</f>
        <v>17293.877811353083</v>
      </c>
      <c r="I56" s="56">
        <f>G56*((IF($A56&gt;=2019,1-$F56,1))*(LOOKUP($A56,Barèmes!$A$65:$A$148,Barèmes!$AD$65:$AD$148)*LOOKUP($A56,Barèmes!$A$65:$A$148,Barèmes!$AI$65:$AI$148)+LOOKUP($A56,Barèmes!$A$65:$A$148,Barèmes!$AR$65:$AR$148)+IF(C56&gt;=LOOKUP($A56,Barèmes!$A$65:$A$148,Barèmes!$V$65:$V$148),LOOKUP($A56,Barèmes!$A$65:$A$148,Barèmes!$AM$65:$AM$148),0)))+G56*(LOOKUP($A56,Barèmes!$A$65:$A$148,Barèmes!$AE$65:$AE$148)*LOOKUP($A56,Barèmes!$A$65:$A$148,Barèmes!$AI$65:$AI$148)+LOOKUP($A56,Barèmes!$A$65:$A$148,Barèmes!$AS$65:$AS$148)+IF(C56&gt;=LOOKUP($A56,Barèmes!$A$65:$A$148,Barèmes!$V$65:$V$148),LOOKUP($A56,Barèmes!$A$65:$A$148,Barèmes!$AN$65:$AN$148),0))</f>
        <v>9766.4130242818774</v>
      </c>
      <c r="J56" s="220">
        <f>IF(AND($B56&gt;=Simulation!$D$5,$B56&lt;Simulation!$D$6,$I56=0,Simulation!$D$14="Chômage",Simulation!$D$17="Oui"),IF(G55&gt;0,G55*0.03,J55),0)</f>
        <v>0</v>
      </c>
      <c r="K56" s="181">
        <f>Salaires!F46</f>
        <v>0</v>
      </c>
      <c r="L56" s="56">
        <f>K56*(LOOKUP($A56,Barèmes!$AB$65:$AB$148,Barèmes!$O$65:$O$148)*(1-$F56)+LOOKUP($A56,Barèmes!$AB$65:$AB$148,Barèmes!$P$65:$P$148))</f>
        <v>0</v>
      </c>
      <c r="M56" s="56">
        <f>Salaires!E46</f>
        <v>0</v>
      </c>
      <c r="N56" s="56">
        <f>M56*((IF($A56&gt;=2019,1-$F56,1))*(LOOKUP($A56,Barèmes!$A$65:$A$148,Barèmes!$AG$65:$AG$148)*LOOKUP($A56,Barèmes!$A$65:$A$148,Barèmes!$AI$65:$AI$148)+LOOKUP($A56,Barèmes!$A$65:$A$148,Barèmes!$AW$65:$AW$148)+IF($C56&gt;=LOOKUP($A56,Barèmes!$A$65:$A$148,Barèmes!$V$65:$V$148),LOOKUP($A56,Barèmes!$A$65:$A$148,Barèmes!$AM$65:$AM$148),0)))+M56*(LOOKUP($A56,Barèmes!$A$65:$A$148,Barèmes!$AH$65:$AH$148)*LOOKUP($A56,Barèmes!$A$65:$A$148,Barèmes!$AI$65:$AI$148)+LOOKUP($A56,Barèmes!$A$65:$A$148,Barèmes!$AX$65:$AX$148)+IF($C56&gt;=LOOKUP($A56,Barèmes!$A$65:$A$148,Barèmes!$V$65:$V$148),LOOKUP($A56,Barèmes!$A$65:$A$148,Barèmes!$AN$65:$AN$148),0))</f>
        <v>0</v>
      </c>
      <c r="O56" s="56">
        <f>IF(AND($B56&gt;=Simulation!$D$5,$B56&lt;Simulation!$D$6,$N56=0,Simulation!$D$14="Chômage",Simulation!$D$17="Oui"),IF(M55&gt;0,M55*0.03,O55),0)</f>
        <v>0</v>
      </c>
      <c r="Q56" s="91">
        <f t="shared" si="0"/>
        <v>27060.290835634958</v>
      </c>
      <c r="R56" s="56"/>
      <c r="S56" s="56">
        <f>G56*LOOKUP($A56,Barèmes!$A$65:$A$148,Barèmes!$AC$65:$AC$148)</f>
        <v>6040.6784467824855</v>
      </c>
      <c r="T56" s="56">
        <f>IF(AND($D56=0,Simulation!$D$14="Chômage",Simulation!$D$17="Oui",$B56&gt;=Simulation!$D$5,$B56&lt;Simulation!$D$6),IF($T55&lt;&gt;0,$T55,0),S56/LOOKUP($A56,Barèmes!$AB$65:$AB$148,Barèmes!$BA$65:$BA$148))</f>
        <v>161.24428292477319</v>
      </c>
      <c r="U56" s="181">
        <f>K56*LOOKUP($A56,Barèmes!$A$65:$A$148,Barèmes!$AF$65:$AF$148)</f>
        <v>0</v>
      </c>
      <c r="V56" s="56">
        <f>IF(AND($D56=0,Simulation!$D$14="Chômage",Simulation!$D$17="Oui",$B56&gt;=Simulation!$D$5,$B56&lt;Simulation!$D$6),IF($V55&lt;&gt;0,$V55,0),U56/LOOKUP($A56,Barèmes!$AB$65:$AB$148,Barèmes!$BA$65:$BA$148))</f>
        <v>0</v>
      </c>
      <c r="X56" s="80">
        <f>IF($B56=Simulation!$D$6,1,X57*(1+LOOKUP($A56,Barèmes!$A$65:$A$148,Barèmes!$T$65:$T$148)))</f>
        <v>1.1488817829559279</v>
      </c>
      <c r="Y56" s="358">
        <f t="shared" si="1"/>
        <v>111935.55211339606</v>
      </c>
      <c r="Z56" s="43">
        <f t="shared" si="2"/>
        <v>9</v>
      </c>
      <c r="AA56" s="56">
        <f>IF(AND($B56&gt;=Simulation!$D$5,$B56&lt;Simulation!$D$6),IF(AND(Simulation!$D$14="Enfants",Simulation!$D$10&gt;0,Simulation!$D$21="Oui",Info_cas_type!$H44=0),4,0),0)</f>
        <v>0</v>
      </c>
      <c r="AB56" s="56">
        <f>IF(AND(Simulation!$D$14="Chômage",Simulation!$D$18="Oui",$B56&gt;=Simulation!$D$5,$B56&lt;Simulation!$D$6,$C56=0),4,0)</f>
        <v>0</v>
      </c>
      <c r="AC56" s="81">
        <f>MIN(4,MIN($C56,LOOKUP($A56,Barèmes!$A$65:$A$148,Barèmes!$V$65:$V$148))/LOOKUP($A56,Barèmes!$A$65:$A$148,Barèmes!$S$65:$S$148))</f>
        <v>4</v>
      </c>
    </row>
    <row r="57" spans="1:29" x14ac:dyDescent="0.25">
      <c r="A57" s="15">
        <f>B57+Simulation!$D$4</f>
        <v>2057</v>
      </c>
      <c r="B57" s="273">
        <v>57</v>
      </c>
      <c r="C57" s="352">
        <f>Salaires!C47</f>
        <v>101414.24795870406</v>
      </c>
      <c r="D57" s="56">
        <f>IF(AND(Simulation!$D$10&gt;0,Simulation!$D$21="Oui",$B57&gt;=Simulation!$D$5,$B57&lt;Simulation!$D$6),IF($C57&gt;0,C57,LOOKUP($A57,Barèmes!$A$65:$A$148,Barèmes!$W$65:$W$148)),MIN($C57,LOOKUP($A57,Barèmes!$A$65:$A$148,Barèmes!$V$65:$V$148)))</f>
        <v>101414.24795870406</v>
      </c>
      <c r="E57" s="56"/>
      <c r="F57" s="63">
        <f>IF(Simulation!$D$44="Oui",IF(C57=0,0,MIN(1,MAX(0,(1.6*LOOKUP(A57,Barèmes!$A$65:$A$148,Barèmes!$F$65:$F$148)/C57-1)/0.6))),0)</f>
        <v>0</v>
      </c>
      <c r="G57" s="181">
        <f>Salaires!D47</f>
        <v>101414.24795870406</v>
      </c>
      <c r="H57" s="56">
        <f>G57*(LOOKUP($A57,Barèmes!$AB$65:$AB$148,Barèmes!$L$65:$L$148)*(1-F57)+LOOKUP($A57,Barèmes!$AB$65:$AB$148,Barèmes!$M$65:$M$148))</f>
        <v>18001.029012669969</v>
      </c>
      <c r="I57" s="56">
        <f>G57*((IF($A57&gt;=2019,1-$F57,1))*(LOOKUP($A57,Barèmes!$A$65:$A$148,Barèmes!$AD$65:$AD$148)*LOOKUP($A57,Barèmes!$A$65:$A$148,Barèmes!$AI$65:$AI$148)+LOOKUP($A57,Barèmes!$A$65:$A$148,Barèmes!$AR$65:$AR$148)+IF(C57&gt;=LOOKUP($A57,Barèmes!$A$65:$A$148,Barèmes!$V$65:$V$148),LOOKUP($A57,Barèmes!$A$65:$A$148,Barèmes!$AM$65:$AM$148),0)))+G57*(LOOKUP($A57,Barèmes!$A$65:$A$148,Barèmes!$AE$65:$AE$148)*LOOKUP($A57,Barèmes!$A$65:$A$148,Barèmes!$AI$65:$AI$148)+LOOKUP($A57,Barèmes!$A$65:$A$148,Barèmes!$AS$65:$AS$148)+IF(C57&gt;=LOOKUP($A57,Barèmes!$A$65:$A$148,Barèmes!$V$65:$V$148),LOOKUP($A57,Barèmes!$A$65:$A$148,Barèmes!$AN$65:$AN$148),0))</f>
        <v>10165.764215380495</v>
      </c>
      <c r="J57" s="220">
        <f>IF(AND($B57&gt;=Simulation!$D$5,$B57&lt;Simulation!$D$6,$I57=0,Simulation!$D$14="Chômage",Simulation!$D$17="Oui"),IF(G56&gt;0,G56*0.03,J56),0)</f>
        <v>0</v>
      </c>
      <c r="K57" s="181">
        <f>Salaires!F47</f>
        <v>0</v>
      </c>
      <c r="L57" s="56">
        <f>K57*(LOOKUP($A57,Barèmes!$AB$65:$AB$148,Barèmes!$O$65:$O$148)*(1-$F57)+LOOKUP($A57,Barèmes!$AB$65:$AB$148,Barèmes!$P$65:$P$148))</f>
        <v>0</v>
      </c>
      <c r="M57" s="56">
        <f>Salaires!E47</f>
        <v>0</v>
      </c>
      <c r="N57" s="56">
        <f>M57*((IF($A57&gt;=2019,1-$F57,1))*(LOOKUP($A57,Barèmes!$A$65:$A$148,Barèmes!$AG$65:$AG$148)*LOOKUP($A57,Barèmes!$A$65:$A$148,Barèmes!$AI$65:$AI$148)+LOOKUP($A57,Barèmes!$A$65:$A$148,Barèmes!$AW$65:$AW$148)+IF($C57&gt;=LOOKUP($A57,Barèmes!$A$65:$A$148,Barèmes!$V$65:$V$148),LOOKUP($A57,Barèmes!$A$65:$A$148,Barèmes!$AM$65:$AM$148),0)))+M57*(LOOKUP($A57,Barèmes!$A$65:$A$148,Barèmes!$AH$65:$AH$148)*LOOKUP($A57,Barèmes!$A$65:$A$148,Barèmes!$AI$65:$AI$148)+LOOKUP($A57,Barèmes!$A$65:$A$148,Barèmes!$AX$65:$AX$148)+IF($C57&gt;=LOOKUP($A57,Barèmes!$A$65:$A$148,Barèmes!$V$65:$V$148),LOOKUP($A57,Barèmes!$A$65:$A$148,Barèmes!$AN$65:$AN$148),0))</f>
        <v>0</v>
      </c>
      <c r="O57" s="56">
        <f>IF(AND($B57&gt;=Simulation!$D$5,$B57&lt;Simulation!$D$6,$N57=0,Simulation!$D$14="Chômage",Simulation!$D$17="Oui"),IF(M56&gt;0,M56*0.03,O56),0)</f>
        <v>0</v>
      </c>
      <c r="Q57" s="91">
        <f t="shared" si="0"/>
        <v>28166.793228050465</v>
      </c>
      <c r="R57" s="56"/>
      <c r="S57" s="56">
        <f>G57*LOOKUP($A57,Barèmes!$A$65:$A$148,Barèmes!$AC$65:$AC$148)</f>
        <v>6287.6833734396514</v>
      </c>
      <c r="T57" s="56">
        <f>IF(AND($D57=0,Simulation!$D$14="Chômage",Simulation!$D$17="Oui",$B57&gt;=Simulation!$D$5,$B57&lt;Simulation!$D$6),IF($T56&lt;&gt;0,$T56,0),S57/LOOKUP($A57,Barèmes!$AB$65:$AB$148,Barèmes!$BA$65:$BA$148))</f>
        <v>164.69216555538344</v>
      </c>
      <c r="U57" s="181">
        <f>K57*LOOKUP($A57,Barèmes!$A$65:$A$148,Barèmes!$AF$65:$AF$148)</f>
        <v>0</v>
      </c>
      <c r="V57" s="56">
        <f>IF(AND($D57=0,Simulation!$D$14="Chômage",Simulation!$D$17="Oui",$B57&gt;=Simulation!$D$5,$B57&lt;Simulation!$D$6),IF($V56&lt;&gt;0,$V56,0),U57/LOOKUP($A57,Barèmes!$AB$65:$AB$148,Barèmes!$BA$65:$BA$148))</f>
        <v>0</v>
      </c>
      <c r="X57" s="80">
        <f>IF($B57=Simulation!$D$6,1,X58*(1+LOOKUP($A57,Barèmes!$A$65:$A$148,Barèmes!$T$65:$T$148)))</f>
        <v>1.1291221454112312</v>
      </c>
      <c r="Y57" s="358">
        <f t="shared" si="1"/>
        <v>114508.7932547346</v>
      </c>
      <c r="Z57" s="43">
        <f t="shared" si="2"/>
        <v>7</v>
      </c>
      <c r="AA57" s="56">
        <f>IF(AND($B57&gt;=Simulation!$D$5,$B57&lt;Simulation!$D$6),IF(AND(Simulation!$D$14="Enfants",Simulation!$D$10&gt;0,Simulation!$D$21="Oui",Info_cas_type!$H45=0),4,0),0)</f>
        <v>0</v>
      </c>
      <c r="AB57" s="56">
        <f>IF(AND(Simulation!$D$14="Chômage",Simulation!$D$18="Oui",$B57&gt;=Simulation!$D$5,$B57&lt;Simulation!$D$6,$C57=0),4,0)</f>
        <v>0</v>
      </c>
      <c r="AC57" s="81">
        <f>MIN(4,MIN($C57,LOOKUP($A57,Barèmes!$A$65:$A$148,Barèmes!$V$65:$V$148))/LOOKUP($A57,Barèmes!$A$65:$A$148,Barèmes!$S$65:$S$148))</f>
        <v>4</v>
      </c>
    </row>
    <row r="58" spans="1:29" x14ac:dyDescent="0.25">
      <c r="A58" s="15">
        <f>B58+Simulation!$D$4</f>
        <v>2058</v>
      </c>
      <c r="B58" s="273">
        <v>58</v>
      </c>
      <c r="C58" s="352">
        <f>Salaires!C48</f>
        <v>105320.27100251199</v>
      </c>
      <c r="D58" s="56">
        <f>IF(AND(Simulation!$D$10&gt;0,Simulation!$D$21="Oui",$B58&gt;=Simulation!$D$5,$B58&lt;Simulation!$D$6),IF($C58&gt;0,C58,LOOKUP($A58,Barèmes!$A$65:$A$148,Barèmes!$W$65:$W$148)),MIN($C58,LOOKUP($A58,Barèmes!$A$65:$A$148,Barèmes!$V$65:$V$148)))</f>
        <v>105320.27100251199</v>
      </c>
      <c r="E58" s="56"/>
      <c r="F58" s="63">
        <f>IF(Simulation!$D$44="Oui",IF(C58=0,0,MIN(1,MAX(0,(1.6*LOOKUP(A58,Barèmes!$A$65:$A$148,Barèmes!$F$65:$F$148)/C58-1)/0.6))),0)</f>
        <v>0</v>
      </c>
      <c r="G58" s="181">
        <f>Salaires!D48</f>
        <v>105320.27100251199</v>
      </c>
      <c r="H58" s="56">
        <f>G58*(LOOKUP($A58,Barèmes!$AB$65:$AB$148,Barèmes!$L$65:$L$148)*(1-F58)+LOOKUP($A58,Barèmes!$AB$65:$AB$148,Barèmes!$M$65:$M$148))</f>
        <v>18694.348102945878</v>
      </c>
      <c r="I58" s="56">
        <f>G58*((IF($A58&gt;=2019,1-$F58,1))*(LOOKUP($A58,Barèmes!$A$65:$A$148,Barèmes!$AD$65:$AD$148)*LOOKUP($A58,Barèmes!$A$65:$A$148,Barèmes!$AI$65:$AI$148)+LOOKUP($A58,Barèmes!$A$65:$A$148,Barèmes!$AR$65:$AR$148)+IF(C58&gt;=LOOKUP($A58,Barèmes!$A$65:$A$148,Barèmes!$V$65:$V$148),LOOKUP($A58,Barèmes!$A$65:$A$148,Barèmes!$AM$65:$AM$148),0)))+G58*(LOOKUP($A58,Barèmes!$A$65:$A$148,Barèmes!$AE$65:$AE$148)*LOOKUP($A58,Barèmes!$A$65:$A$148,Barèmes!$AI$65:$AI$148)+LOOKUP($A58,Barèmes!$A$65:$A$148,Barèmes!$AS$65:$AS$148)+IF(C58&gt;=LOOKUP($A58,Barèmes!$A$65:$A$148,Barèmes!$V$65:$V$148),LOOKUP($A58,Barèmes!$A$65:$A$148,Barèmes!$AN$65:$AN$148),0))</f>
        <v>10557.303965291801</v>
      </c>
      <c r="J58" s="220">
        <f>IF(AND($B58&gt;=Simulation!$D$5,$B58&lt;Simulation!$D$6,$I58=0,Simulation!$D$14="Chômage",Simulation!$D$17="Oui"),IF(G57&gt;0,G57*0.03,J57),0)</f>
        <v>0</v>
      </c>
      <c r="K58" s="181">
        <f>Salaires!F48</f>
        <v>0</v>
      </c>
      <c r="L58" s="56">
        <f>K58*(LOOKUP($A58,Barèmes!$AB$65:$AB$148,Barèmes!$O$65:$O$148)*(1-$F58)+LOOKUP($A58,Barèmes!$AB$65:$AB$148,Barèmes!$P$65:$P$148))</f>
        <v>0</v>
      </c>
      <c r="M58" s="56">
        <f>Salaires!E48</f>
        <v>0</v>
      </c>
      <c r="N58" s="56">
        <f>M58*((IF($A58&gt;=2019,1-$F58,1))*(LOOKUP($A58,Barèmes!$A$65:$A$148,Barèmes!$AG$65:$AG$148)*LOOKUP($A58,Barèmes!$A$65:$A$148,Barèmes!$AI$65:$AI$148)+LOOKUP($A58,Barèmes!$A$65:$A$148,Barèmes!$AW$65:$AW$148)+IF($C58&gt;=LOOKUP($A58,Barèmes!$A$65:$A$148,Barèmes!$V$65:$V$148),LOOKUP($A58,Barèmes!$A$65:$A$148,Barèmes!$AM$65:$AM$148),0)))+M58*(LOOKUP($A58,Barèmes!$A$65:$A$148,Barèmes!$AH$65:$AH$148)*LOOKUP($A58,Barèmes!$A$65:$A$148,Barèmes!$AI$65:$AI$148)+LOOKUP($A58,Barèmes!$A$65:$A$148,Barèmes!$AX$65:$AX$148)+IF($C58&gt;=LOOKUP($A58,Barèmes!$A$65:$A$148,Barèmes!$V$65:$V$148),LOOKUP($A58,Barèmes!$A$65:$A$148,Barèmes!$AN$65:$AN$148),0))</f>
        <v>0</v>
      </c>
      <c r="O58" s="56">
        <f>IF(AND($B58&gt;=Simulation!$D$5,$B58&lt;Simulation!$D$6,$N58=0,Simulation!$D$14="Chômage",Simulation!$D$17="Oui"),IF(M57&gt;0,M57*0.03,O57),0)</f>
        <v>0</v>
      </c>
      <c r="Q58" s="91">
        <f t="shared" si="0"/>
        <v>29251.652068237679</v>
      </c>
      <c r="R58" s="56"/>
      <c r="S58" s="56">
        <f>G58*LOOKUP($A58,Barèmes!$A$65:$A$148,Barèmes!$AC$65:$AC$148)</f>
        <v>6529.856802155743</v>
      </c>
      <c r="T58" s="56">
        <f>IF(AND($D58=0,Simulation!$D$14="Chômage",Simulation!$D$17="Oui",$B58&gt;=Simulation!$D$5,$B58&lt;Simulation!$D$6),IF($T57&lt;&gt;0,$T57,0),S58/LOOKUP($A58,Barèmes!$AB$65:$AB$148,Barèmes!$BA$65:$BA$148))</f>
        <v>167.82985334885069</v>
      </c>
      <c r="U58" s="181">
        <f>K58*LOOKUP($A58,Barèmes!$A$65:$A$148,Barèmes!$AF$65:$AF$148)</f>
        <v>0</v>
      </c>
      <c r="V58" s="56">
        <f>IF(AND($D58=0,Simulation!$D$14="Chômage",Simulation!$D$17="Oui",$B58&gt;=Simulation!$D$5,$B58&lt;Simulation!$D$6),IF($V57&lt;&gt;0,$V57,0),U58/LOOKUP($A58,Barèmes!$AB$65:$AB$148,Barèmes!$BA$65:$BA$148))</f>
        <v>0</v>
      </c>
      <c r="X58" s="80">
        <f>IF($B58=Simulation!$D$6,1,X59*(1+LOOKUP($A58,Barèmes!$A$65:$A$148,Barèmes!$T$65:$T$148)))</f>
        <v>1.1097023542125122</v>
      </c>
      <c r="Y58" s="358">
        <f t="shared" si="1"/>
        <v>116873.85194566178</v>
      </c>
      <c r="Z58" s="43">
        <f t="shared" si="2"/>
        <v>6</v>
      </c>
      <c r="AA58" s="56">
        <f>IF(AND($B58&gt;=Simulation!$D$5,$B58&lt;Simulation!$D$6),IF(AND(Simulation!$D$14="Enfants",Simulation!$D$10&gt;0,Simulation!$D$21="Oui",Info_cas_type!$H46=0),4,0),0)</f>
        <v>0</v>
      </c>
      <c r="AB58" s="56">
        <f>IF(AND(Simulation!$D$14="Chômage",Simulation!$D$18="Oui",$B58&gt;=Simulation!$D$5,$B58&lt;Simulation!$D$6,$C58=0),4,0)</f>
        <v>0</v>
      </c>
      <c r="AC58" s="81">
        <f>MIN(4,MIN($C58,LOOKUP($A58,Barèmes!$A$65:$A$148,Barèmes!$V$65:$V$148))/LOOKUP($A58,Barèmes!$A$65:$A$148,Barèmes!$S$65:$S$148))</f>
        <v>4</v>
      </c>
    </row>
    <row r="59" spans="1:29" x14ac:dyDescent="0.25">
      <c r="A59" s="15">
        <f>B59+Simulation!$D$4</f>
        <v>2059</v>
      </c>
      <c r="B59" s="273">
        <v>59</v>
      </c>
      <c r="C59" s="352">
        <f>Salaires!C49</f>
        <v>108650.07051227338</v>
      </c>
      <c r="D59" s="56">
        <f>IF(AND(Simulation!$D$10&gt;0,Simulation!$D$21="Oui",$B59&gt;=Simulation!$D$5,$B59&lt;Simulation!$D$6),IF($C59&gt;0,C59,LOOKUP($A59,Barèmes!$A$65:$A$148,Barèmes!$W$65:$W$148)),MIN($C59,LOOKUP($A59,Barèmes!$A$65:$A$148,Barèmes!$V$65:$V$148)))</f>
        <v>108650.07051227338</v>
      </c>
      <c r="E59" s="56"/>
      <c r="F59" s="63">
        <f>IF(Simulation!$D$44="Oui",IF(C59=0,0,MIN(1,MAX(0,(1.6*LOOKUP(A59,Barèmes!$A$65:$A$148,Barèmes!$F$65:$F$148)/C59-1)/0.6))),0)</f>
        <v>0</v>
      </c>
      <c r="G59" s="181">
        <f>Salaires!D49</f>
        <v>108650.07051227338</v>
      </c>
      <c r="H59" s="56">
        <f>G59*(LOOKUP($A59,Barèmes!$AB$65:$AB$148,Barèmes!$L$65:$L$148)*(1-F59)+LOOKUP($A59,Barèmes!$AB$65:$AB$148,Barèmes!$M$65:$M$148))</f>
        <v>19285.387515928523</v>
      </c>
      <c r="I59" s="56">
        <f>G59*((IF($A59&gt;=2019,1-$F59,1))*(LOOKUP($A59,Barèmes!$A$65:$A$148,Barèmes!$AD$65:$AD$148)*LOOKUP($A59,Barèmes!$A$65:$A$148,Barèmes!$AI$65:$AI$148)+LOOKUP($A59,Barèmes!$A$65:$A$148,Barèmes!$AR$65:$AR$148)+IF(C59&gt;=LOOKUP($A59,Barèmes!$A$65:$A$148,Barèmes!$V$65:$V$148),LOOKUP($A59,Barèmes!$A$65:$A$148,Barèmes!$AM$65:$AM$148),0)))+G59*(LOOKUP($A59,Barèmes!$A$65:$A$148,Barèmes!$AE$65:$AE$148)*LOOKUP($A59,Barèmes!$A$65:$A$148,Barèmes!$AI$65:$AI$148)+LOOKUP($A59,Barèmes!$A$65:$A$148,Barèmes!$AS$65:$AS$148)+IF(C59&gt;=LOOKUP($A59,Barèmes!$A$65:$A$148,Barèmes!$V$65:$V$148),LOOKUP($A59,Barèmes!$A$65:$A$148,Barèmes!$AN$65:$AN$148),0))</f>
        <v>10891.083068150283</v>
      </c>
      <c r="J59" s="220">
        <f>IF(AND($B59&gt;=Simulation!$D$5,$B59&lt;Simulation!$D$6,$I59=0,Simulation!$D$14="Chômage",Simulation!$D$17="Oui"),IF(G58&gt;0,G58*0.03,J58),0)</f>
        <v>0</v>
      </c>
      <c r="K59" s="181">
        <f>Salaires!F49</f>
        <v>0</v>
      </c>
      <c r="L59" s="56">
        <f>K59*(LOOKUP($A59,Barèmes!$AB$65:$AB$148,Barèmes!$O$65:$O$148)*(1-$F59)+LOOKUP($A59,Barèmes!$AB$65:$AB$148,Barèmes!$P$65:$P$148))</f>
        <v>0</v>
      </c>
      <c r="M59" s="56">
        <f>Salaires!E49</f>
        <v>0</v>
      </c>
      <c r="N59" s="56">
        <f>M59*((IF($A59&gt;=2019,1-$F59,1))*(LOOKUP($A59,Barèmes!$A$65:$A$148,Barèmes!$AG$65:$AG$148)*LOOKUP($A59,Barèmes!$A$65:$A$148,Barèmes!$AI$65:$AI$148)+LOOKUP($A59,Barèmes!$A$65:$A$148,Barèmes!$AW$65:$AW$148)+IF($C59&gt;=LOOKUP($A59,Barèmes!$A$65:$A$148,Barèmes!$V$65:$V$148),LOOKUP($A59,Barèmes!$A$65:$A$148,Barèmes!$AM$65:$AM$148),0)))+M59*(LOOKUP($A59,Barèmes!$A$65:$A$148,Barèmes!$AH$65:$AH$148)*LOOKUP($A59,Barèmes!$A$65:$A$148,Barèmes!$AI$65:$AI$148)+LOOKUP($A59,Barèmes!$A$65:$A$148,Barèmes!$AX$65:$AX$148)+IF($C59&gt;=LOOKUP($A59,Barèmes!$A$65:$A$148,Barèmes!$V$65:$V$148),LOOKUP($A59,Barèmes!$A$65:$A$148,Barèmes!$AN$65:$AN$148),0))</f>
        <v>0</v>
      </c>
      <c r="O59" s="56">
        <f>IF(AND($B59&gt;=Simulation!$D$5,$B59&lt;Simulation!$D$6,$N59=0,Simulation!$D$14="Chômage",Simulation!$D$17="Oui"),IF(M58&gt;0,M58*0.03,O58),0)</f>
        <v>0</v>
      </c>
      <c r="Q59" s="91">
        <f t="shared" si="0"/>
        <v>30176.470584078808</v>
      </c>
      <c r="R59" s="56"/>
      <c r="S59" s="56">
        <f>G59*LOOKUP($A59,Barèmes!$A$65:$A$148,Barèmes!$AC$65:$AC$148)</f>
        <v>6736.3043717609498</v>
      </c>
      <c r="T59" s="56">
        <f>IF(AND($D59=0,Simulation!$D$14="Chômage",Simulation!$D$17="Oui",$B59&gt;=Simulation!$D$5,$B59&lt;Simulation!$D$6),IF($T58&lt;&gt;0,$T58,0),S59/LOOKUP($A59,Barèmes!$AB$65:$AB$148,Barèmes!$BA$65:$BA$148))</f>
        <v>169.89118405881737</v>
      </c>
      <c r="U59" s="181">
        <f>K59*LOOKUP($A59,Barèmes!$A$65:$A$148,Barèmes!$AF$65:$AF$148)</f>
        <v>0</v>
      </c>
      <c r="V59" s="56">
        <f>IF(AND($D59=0,Simulation!$D$14="Chômage",Simulation!$D$17="Oui",$B59&gt;=Simulation!$D$5,$B59&lt;Simulation!$D$6),IF($V58&lt;&gt;0,$V58,0),U59/LOOKUP($A59,Barèmes!$AB$65:$AB$148,Barèmes!$BA$65:$BA$148))</f>
        <v>0</v>
      </c>
      <c r="X59" s="80">
        <f>IF($B59=Simulation!$D$6,1,X60*(1+LOOKUP($A59,Barèmes!$A$65:$A$148,Barèmes!$T$65:$T$148)))</f>
        <v>1.0906165643366212</v>
      </c>
      <c r="Y59" s="358">
        <f t="shared" si="1"/>
        <v>118495.4897151739</v>
      </c>
      <c r="Z59" s="43">
        <f t="shared" si="2"/>
        <v>5</v>
      </c>
      <c r="AA59" s="56">
        <f>IF(AND($B59&gt;=Simulation!$D$5,$B59&lt;Simulation!$D$6),IF(AND(Simulation!$D$14="Enfants",Simulation!$D$10&gt;0,Simulation!$D$21="Oui",Info_cas_type!$H47=0),4,0),0)</f>
        <v>0</v>
      </c>
      <c r="AB59" s="56">
        <f>IF(AND(Simulation!$D$14="Chômage",Simulation!$D$18="Oui",$B59&gt;=Simulation!$D$5,$B59&lt;Simulation!$D$6,$C59=0),4,0)</f>
        <v>0</v>
      </c>
      <c r="AC59" s="81">
        <f>MIN(4,MIN($C59,LOOKUP($A59,Barèmes!$A$65:$A$148,Barèmes!$V$65:$V$148))/LOOKUP($A59,Barèmes!$A$65:$A$148,Barèmes!$S$65:$S$148))</f>
        <v>4</v>
      </c>
    </row>
    <row r="60" spans="1:29" x14ac:dyDescent="0.25">
      <c r="A60" s="15">
        <f>B60+Simulation!$D$4</f>
        <v>2060</v>
      </c>
      <c r="B60" s="273">
        <v>60</v>
      </c>
      <c r="C60" s="352">
        <f>Salaires!C50</f>
        <v>112280.47730324794</v>
      </c>
      <c r="D60" s="56">
        <f>IF(AND(Simulation!$D$10&gt;0,Simulation!$D$21="Oui",$B60&gt;=Simulation!$D$5,$B60&lt;Simulation!$D$6),IF($C60&gt;0,C60,LOOKUP($A60,Barèmes!$A$65:$A$148,Barèmes!$W$65:$W$148)),MIN($C60,LOOKUP($A60,Barèmes!$A$65:$A$148,Barèmes!$V$65:$V$148)))</f>
        <v>112280.47730324794</v>
      </c>
      <c r="E60" s="56"/>
      <c r="F60" s="63">
        <f>IF(Simulation!$D$44="Oui",IF(C60=0,0,MIN(1,MAX(0,(1.6*LOOKUP(A60,Barèmes!$A$65:$A$148,Barèmes!$F$65:$F$148)/C60-1)/0.6))),0)</f>
        <v>0</v>
      </c>
      <c r="G60" s="181">
        <f>Salaires!D50</f>
        <v>112280.47730324794</v>
      </c>
      <c r="H60" s="56">
        <f>G60*(LOOKUP($A60,Barèmes!$AB$65:$AB$148,Barèmes!$L$65:$L$148)*(1-F60)+LOOKUP($A60,Barèmes!$AB$65:$AB$148,Barèmes!$M$65:$M$148))</f>
        <v>19929.784721326509</v>
      </c>
      <c r="I60" s="56">
        <f>G60*((IF($A60&gt;=2019,1-$F60,1))*(LOOKUP($A60,Barèmes!$A$65:$A$148,Barèmes!$AD$65:$AD$148)*LOOKUP($A60,Barèmes!$A$65:$A$148,Barèmes!$AI$65:$AI$148)+LOOKUP($A60,Barèmes!$A$65:$A$148,Barèmes!$AR$65:$AR$148)+IF(C60&gt;=LOOKUP($A60,Barèmes!$A$65:$A$148,Barèmes!$V$65:$V$148),LOOKUP($A60,Barèmes!$A$65:$A$148,Barèmes!$AM$65:$AM$148),0)))+G60*(LOOKUP($A60,Barèmes!$A$65:$A$148,Barèmes!$AE$65:$AE$148)*LOOKUP($A60,Barèmes!$A$65:$A$148,Barèmes!$AI$65:$AI$148)+LOOKUP($A60,Barèmes!$A$65:$A$148,Barèmes!$AS$65:$AS$148)+IF(C60&gt;=LOOKUP($A60,Barèmes!$A$65:$A$148,Barèmes!$V$65:$V$148),LOOKUP($A60,Barèmes!$A$65:$A$148,Barèmes!$AN$65:$AN$148),0))</f>
        <v>11254.995044877574</v>
      </c>
      <c r="J60" s="220">
        <f>IF(AND($B60&gt;=Simulation!$D$5,$B60&lt;Simulation!$D$6,$I60=0,Simulation!$D$14="Chômage",Simulation!$D$17="Oui"),IF(G59&gt;0,G59*0.03,J59),0)</f>
        <v>0</v>
      </c>
      <c r="K60" s="181">
        <f>Salaires!F50</f>
        <v>0</v>
      </c>
      <c r="L60" s="56">
        <f>K60*(LOOKUP($A60,Barèmes!$AB$65:$AB$148,Barèmes!$O$65:$O$148)*(1-$F60)+LOOKUP($A60,Barèmes!$AB$65:$AB$148,Barèmes!$P$65:$P$148))</f>
        <v>0</v>
      </c>
      <c r="M60" s="56">
        <f>Salaires!E50</f>
        <v>0</v>
      </c>
      <c r="N60" s="56">
        <f>M60*((IF($A60&gt;=2019,1-$F60,1))*(LOOKUP($A60,Barèmes!$A$65:$A$148,Barèmes!$AG$65:$AG$148)*LOOKUP($A60,Barèmes!$A$65:$A$148,Barèmes!$AI$65:$AI$148)+LOOKUP($A60,Barèmes!$A$65:$A$148,Barèmes!$AW$65:$AW$148)+IF($C60&gt;=LOOKUP($A60,Barèmes!$A$65:$A$148,Barèmes!$V$65:$V$148),LOOKUP($A60,Barèmes!$A$65:$A$148,Barèmes!$AM$65:$AM$148),0)))+M60*(LOOKUP($A60,Barèmes!$A$65:$A$148,Barèmes!$AH$65:$AH$148)*LOOKUP($A60,Barèmes!$A$65:$A$148,Barèmes!$AI$65:$AI$148)+LOOKUP($A60,Barèmes!$A$65:$A$148,Barèmes!$AX$65:$AX$148)+IF($C60&gt;=LOOKUP($A60,Barèmes!$A$65:$A$148,Barèmes!$V$65:$V$148),LOOKUP($A60,Barèmes!$A$65:$A$148,Barèmes!$AN$65:$AN$148),0))</f>
        <v>0</v>
      </c>
      <c r="O60" s="56">
        <f>IF(AND($B60&gt;=Simulation!$D$5,$B60&lt;Simulation!$D$6,$N60=0,Simulation!$D$14="Chômage",Simulation!$D$17="Oui"),IF(M59&gt;0,M59*0.03,O59),0)</f>
        <v>0</v>
      </c>
      <c r="Q60" s="91">
        <f t="shared" si="0"/>
        <v>31184.779766204083</v>
      </c>
      <c r="R60" s="56"/>
      <c r="S60" s="56">
        <f>G60*LOOKUP($A60,Barèmes!$A$65:$A$148,Barèmes!$AC$65:$AC$148)</f>
        <v>6961.3895928013726</v>
      </c>
      <c r="T60" s="56">
        <f>IF(AND($D60=0,Simulation!$D$14="Chômage",Simulation!$D$17="Oui",$B60&gt;=Simulation!$D$5,$B60&lt;Simulation!$D$6),IF($T59&lt;&gt;0,$T59,0),S60/LOOKUP($A60,Barèmes!$AB$65:$AB$148,Barèmes!$BA$65:$BA$148))</f>
        <v>172.27750922592983</v>
      </c>
      <c r="U60" s="181">
        <f>K60*LOOKUP($A60,Barèmes!$A$65:$A$148,Barèmes!$AF$65:$AF$148)</f>
        <v>0</v>
      </c>
      <c r="V60" s="56">
        <f>IF(AND($D60=0,Simulation!$D$14="Chômage",Simulation!$D$17="Oui",$B60&gt;=Simulation!$D$5,$B60&lt;Simulation!$D$6),IF($V59&lt;&gt;0,$V59,0),U60/LOOKUP($A60,Barèmes!$AB$65:$AB$148,Barèmes!$BA$65:$BA$148))</f>
        <v>0</v>
      </c>
      <c r="X60" s="80">
        <f>IF($B60=Simulation!$D$6,1,X61*(1+LOOKUP($A60,Barèmes!$A$65:$A$148,Barèmes!$T$65:$T$148)))</f>
        <v>1.0718590312890626</v>
      </c>
      <c r="Y60" s="358">
        <f t="shared" si="1"/>
        <v>120348.33203313594</v>
      </c>
      <c r="Z60" s="43">
        <f t="shared" si="2"/>
        <v>4</v>
      </c>
      <c r="AA60" s="56">
        <f>IF(AND($B60&gt;=Simulation!$D$5,$B60&lt;Simulation!$D$6),IF(AND(Simulation!$D$14="Enfants",Simulation!$D$10&gt;0,Simulation!$D$21="Oui",Info_cas_type!$H48=0),4,0),0)</f>
        <v>0</v>
      </c>
      <c r="AB60" s="56">
        <f>IF(AND(Simulation!$D$14="Chômage",Simulation!$D$18="Oui",$B60&gt;=Simulation!$D$5,$B60&lt;Simulation!$D$6,$C60=0),4,0)</f>
        <v>0</v>
      </c>
      <c r="AC60" s="81">
        <f>MIN(4,MIN($C60,LOOKUP($A60,Barèmes!$A$65:$A$148,Barèmes!$V$65:$V$148))/LOOKUP($A60,Barèmes!$A$65:$A$148,Barèmes!$S$65:$S$148))</f>
        <v>4</v>
      </c>
    </row>
    <row r="61" spans="1:29" x14ac:dyDescent="0.25">
      <c r="A61" s="15">
        <f>B61+Simulation!$D$4</f>
        <v>2061</v>
      </c>
      <c r="B61" s="273">
        <v>61</v>
      </c>
      <c r="C61" s="352">
        <f>Salaires!C51</f>
        <v>115730.5756695835</v>
      </c>
      <c r="D61" s="56">
        <f>IF(AND(Simulation!$D$10&gt;0,Simulation!$D$21="Oui",$B61&gt;=Simulation!$D$5,$B61&lt;Simulation!$D$6),IF($C61&gt;0,C61,LOOKUP($A61,Barèmes!$A$65:$A$148,Barèmes!$W$65:$W$148)),MIN($C61,LOOKUP($A61,Barèmes!$A$65:$A$148,Barèmes!$V$65:$V$148)))</f>
        <v>115730.5756695835</v>
      </c>
      <c r="E61" s="56"/>
      <c r="F61" s="63">
        <f>IF(Simulation!$D$44="Oui",IF(C61=0,0,MIN(1,MAX(0,(1.6*LOOKUP(A61,Barèmes!$A$65:$A$148,Barèmes!$F$65:$F$148)/C61-1)/0.6))),0)</f>
        <v>0</v>
      </c>
      <c r="G61" s="181">
        <f>Salaires!D51</f>
        <v>115730.5756695835</v>
      </c>
      <c r="H61" s="56">
        <f>G61*(LOOKUP($A61,Barèmes!$AB$65:$AB$148,Barèmes!$L$65:$L$148)*(1-F61)+LOOKUP($A61,Barèmes!$AB$65:$AB$148,Barèmes!$M$65:$M$148))</f>
        <v>20542.177181351071</v>
      </c>
      <c r="I61" s="56">
        <f>G61*((IF($A61&gt;=2019,1-$F61,1))*(LOOKUP($A61,Barèmes!$A$65:$A$148,Barèmes!$AD$65:$AD$148)*LOOKUP($A61,Barèmes!$A$65:$A$148,Barèmes!$AI$65:$AI$148)+LOOKUP($A61,Barèmes!$A$65:$A$148,Barèmes!$AR$65:$AR$148)+IF(C61&gt;=LOOKUP($A61,Barèmes!$A$65:$A$148,Barèmes!$V$65:$V$148),LOOKUP($A61,Barèmes!$A$65:$A$148,Barèmes!$AM$65:$AM$148),0)))+G61*(LOOKUP($A61,Barèmes!$A$65:$A$148,Barèmes!$AE$65:$AE$148)*LOOKUP($A61,Barèmes!$A$65:$A$148,Barèmes!$AI$65:$AI$148)+LOOKUP($A61,Barèmes!$A$65:$A$148,Barèmes!$AS$65:$AS$148)+IF(C61&gt;=LOOKUP($A61,Barèmes!$A$65:$A$148,Barèmes!$V$65:$V$148),LOOKUP($A61,Barèmes!$A$65:$A$148,Barèmes!$AN$65:$AN$148),0))</f>
        <v>11600.83290511905</v>
      </c>
      <c r="J61" s="220">
        <f>IF(AND($B61&gt;=Simulation!$D$5,$B61&lt;Simulation!$D$6,$I61=0,Simulation!$D$14="Chômage",Simulation!$D$17="Oui"),IF(G60&gt;0,G60*0.03,J60),0)</f>
        <v>0</v>
      </c>
      <c r="K61" s="181">
        <f>Salaires!F51</f>
        <v>0</v>
      </c>
      <c r="L61" s="56">
        <f>K61*(LOOKUP($A61,Barèmes!$AB$65:$AB$148,Barèmes!$O$65:$O$148)*(1-$F61)+LOOKUP($A61,Barèmes!$AB$65:$AB$148,Barèmes!$P$65:$P$148))</f>
        <v>0</v>
      </c>
      <c r="M61" s="56">
        <f>Salaires!E51</f>
        <v>0</v>
      </c>
      <c r="N61" s="56">
        <f>M61*((IF($A61&gt;=2019,1-$F61,1))*(LOOKUP($A61,Barèmes!$A$65:$A$148,Barèmes!$AG$65:$AG$148)*LOOKUP($A61,Barèmes!$A$65:$A$148,Barèmes!$AI$65:$AI$148)+LOOKUP($A61,Barèmes!$A$65:$A$148,Barèmes!$AW$65:$AW$148)+IF($C61&gt;=LOOKUP($A61,Barèmes!$A$65:$A$148,Barèmes!$V$65:$V$148),LOOKUP($A61,Barèmes!$A$65:$A$148,Barèmes!$AM$65:$AM$148),0)))+M61*(LOOKUP($A61,Barèmes!$A$65:$A$148,Barèmes!$AH$65:$AH$148)*LOOKUP($A61,Barèmes!$A$65:$A$148,Barèmes!$AI$65:$AI$148)+LOOKUP($A61,Barèmes!$A$65:$A$148,Barèmes!$AX$65:$AX$148)+IF($C61&gt;=LOOKUP($A61,Barèmes!$A$65:$A$148,Barèmes!$V$65:$V$148),LOOKUP($A61,Barèmes!$A$65:$A$148,Barèmes!$AN$65:$AN$148),0))</f>
        <v>0</v>
      </c>
      <c r="O61" s="56">
        <f>IF(AND($B61&gt;=Simulation!$D$5,$B61&lt;Simulation!$D$6,$N61=0,Simulation!$D$14="Chômage",Simulation!$D$17="Oui"),IF(M60&gt;0,M60*0.03,O60),0)</f>
        <v>0</v>
      </c>
      <c r="Q61" s="91">
        <f t="shared" si="0"/>
        <v>32143.010086470123</v>
      </c>
      <c r="R61" s="56"/>
      <c r="S61" s="56">
        <f>G61*LOOKUP($A61,Barèmes!$A$65:$A$148,Barèmes!$AC$65:$AC$148)</f>
        <v>7175.2956915141767</v>
      </c>
      <c r="T61" s="56">
        <f>IF(AND($D61=0,Simulation!$D$14="Chômage",Simulation!$D$17="Oui",$B61&gt;=Simulation!$D$5,$B61&lt;Simulation!$D$6),IF($T60&lt;&gt;0,$T60,0),S61/LOOKUP($A61,Barèmes!$AB$65:$AB$148,Barèmes!$BA$65:$BA$148))</f>
        <v>174.24309228102558</v>
      </c>
      <c r="U61" s="181">
        <f>K61*LOOKUP($A61,Barèmes!$A$65:$A$148,Barèmes!$AF$65:$AF$148)</f>
        <v>0</v>
      </c>
      <c r="V61" s="56">
        <f>IF(AND($D61=0,Simulation!$D$14="Chômage",Simulation!$D$17="Oui",$B61&gt;=Simulation!$D$5,$B61&lt;Simulation!$D$6),IF($V60&lt;&gt;0,$V60,0),U61/LOOKUP($A61,Barèmes!$AB$65:$AB$148,Barèmes!$BA$65:$BA$148))</f>
        <v>0</v>
      </c>
      <c r="X61" s="80">
        <f>IF($B61=Simulation!$D$6,1,X62*(1+LOOKUP($A61,Barèmes!$A$65:$A$148,Barèmes!$T$65:$T$148)))</f>
        <v>1.0534241093750001</v>
      </c>
      <c r="Y61" s="358">
        <f t="shared" si="1"/>
        <v>121913.82560207814</v>
      </c>
      <c r="Z61" s="43">
        <f t="shared" si="2"/>
        <v>3</v>
      </c>
      <c r="AA61" s="56">
        <f>IF(AND($B61&gt;=Simulation!$D$5,$B61&lt;Simulation!$D$6),IF(AND(Simulation!$D$14="Enfants",Simulation!$D$10&gt;0,Simulation!$D$21="Oui",Info_cas_type!$H49=0),4,0),0)</f>
        <v>0</v>
      </c>
      <c r="AB61" s="56">
        <f>IF(AND(Simulation!$D$14="Chômage",Simulation!$D$18="Oui",$B61&gt;=Simulation!$D$5,$B61&lt;Simulation!$D$6,$C61=0),4,0)</f>
        <v>0</v>
      </c>
      <c r="AC61" s="81">
        <f>MIN(4,MIN($C61,LOOKUP($A61,Barèmes!$A$65:$A$148,Barèmes!$V$65:$V$148))/LOOKUP($A61,Barèmes!$A$65:$A$148,Barèmes!$S$65:$S$148))</f>
        <v>4</v>
      </c>
    </row>
    <row r="62" spans="1:29" x14ac:dyDescent="0.25">
      <c r="A62" s="15">
        <f>B62+Simulation!$D$4</f>
        <v>2062</v>
      </c>
      <c r="B62" s="273">
        <v>62</v>
      </c>
      <c r="C62" s="352">
        <f>Salaires!C52</f>
        <v>119286.68693347063</v>
      </c>
      <c r="D62" s="56">
        <f>IF(AND(Simulation!$D$10&gt;0,Simulation!$D$21="Oui",$B62&gt;=Simulation!$D$5,$B62&lt;Simulation!$D$6),IF($C62&gt;0,C62,LOOKUP($A62,Barèmes!$A$65:$A$148,Barèmes!$W$65:$W$148)),MIN($C62,LOOKUP($A62,Barèmes!$A$65:$A$148,Barèmes!$V$65:$V$148)))</f>
        <v>119286.68693347063</v>
      </c>
      <c r="E62" s="56"/>
      <c r="F62" s="63">
        <f>IF(Simulation!$D$44="Oui",IF(C62=0,0,MIN(1,MAX(0,(1.6*LOOKUP(A62,Barèmes!$A$65:$A$148,Barèmes!$F$65:$F$148)/C62-1)/0.6))),0)</f>
        <v>0</v>
      </c>
      <c r="G62" s="181">
        <f>Salaires!D52</f>
        <v>119286.68693347063</v>
      </c>
      <c r="H62" s="56">
        <f>G62*(LOOKUP($A62,Barèmes!$AB$65:$AB$148,Barèmes!$L$65:$L$148)*(1-F62)+LOOKUP($A62,Barèmes!$AB$65:$AB$148,Barèmes!$M$65:$M$148))</f>
        <v>21173.386930691035</v>
      </c>
      <c r="I62" s="56">
        <f>G62*((IF($A62&gt;=2019,1-$F62,1))*(LOOKUP($A62,Barèmes!$A$65:$A$148,Barèmes!$AD$65:$AD$148)*LOOKUP($A62,Barèmes!$A$65:$A$148,Barèmes!$AI$65:$AI$148)+LOOKUP($A62,Barèmes!$A$65:$A$148,Barèmes!$AR$65:$AR$148)+IF(C62&gt;=LOOKUP($A62,Barèmes!$A$65:$A$148,Barèmes!$V$65:$V$148),LOOKUP($A62,Barèmes!$A$65:$A$148,Barèmes!$AM$65:$AM$148),0)))+G62*(LOOKUP($A62,Barèmes!$A$65:$A$148,Barèmes!$AE$65:$AE$148)*LOOKUP($A62,Barèmes!$A$65:$A$148,Barèmes!$AI$65:$AI$148)+LOOKUP($A62,Barèmes!$A$65:$A$148,Barèmes!$AS$65:$AS$148)+IF(C62&gt;=LOOKUP($A62,Barèmes!$A$65:$A$148,Barèmes!$V$65:$V$148),LOOKUP($A62,Barèmes!$A$65:$A$148,Barèmes!$AN$65:$AN$148),0))</f>
        <v>11957.297498211097</v>
      </c>
      <c r="J62" s="220">
        <f>IF(AND($B62&gt;=Simulation!$D$5,$B62&lt;Simulation!$D$6,$I62=0,Simulation!$D$14="Chômage",Simulation!$D$17="Oui"),IF(G61&gt;0,G61*0.03,J61),0)</f>
        <v>0</v>
      </c>
      <c r="K62" s="181">
        <f>Salaires!F52</f>
        <v>0</v>
      </c>
      <c r="L62" s="56">
        <f>K62*(LOOKUP($A62,Barèmes!$AB$65:$AB$148,Barèmes!$O$65:$O$148)*(1-$F62)+LOOKUP($A62,Barèmes!$AB$65:$AB$148,Barèmes!$P$65:$P$148))</f>
        <v>0</v>
      </c>
      <c r="M62" s="56">
        <f>Salaires!E52</f>
        <v>0</v>
      </c>
      <c r="N62" s="56">
        <f>M62*((IF($A62&gt;=2019,1-$F62,1))*(LOOKUP($A62,Barèmes!$A$65:$A$148,Barèmes!$AG$65:$AG$148)*LOOKUP($A62,Barèmes!$A$65:$A$148,Barèmes!$AI$65:$AI$148)+LOOKUP($A62,Barèmes!$A$65:$A$148,Barèmes!$AW$65:$AW$148)+IF($C62&gt;=LOOKUP($A62,Barèmes!$A$65:$A$148,Barèmes!$V$65:$V$148),LOOKUP($A62,Barèmes!$A$65:$A$148,Barèmes!$AM$65:$AM$148),0)))+M62*(LOOKUP($A62,Barèmes!$A$65:$A$148,Barèmes!$AH$65:$AH$148)*LOOKUP($A62,Barèmes!$A$65:$A$148,Barèmes!$AI$65:$AI$148)+LOOKUP($A62,Barèmes!$A$65:$A$148,Barèmes!$AX$65:$AX$148)+IF($C62&gt;=LOOKUP($A62,Barèmes!$A$65:$A$148,Barèmes!$V$65:$V$148),LOOKUP($A62,Barèmes!$A$65:$A$148,Barèmes!$AN$65:$AN$148),0))</f>
        <v>0</v>
      </c>
      <c r="O62" s="56">
        <f>IF(AND($B62&gt;=Simulation!$D$5,$B62&lt;Simulation!$D$6,$N62=0,Simulation!$D$14="Chômage",Simulation!$D$17="Oui"),IF(M61&gt;0,M61*0.03,O61),0)</f>
        <v>0</v>
      </c>
      <c r="Q62" s="91">
        <f t="shared" si="0"/>
        <v>33130.684428902132</v>
      </c>
      <c r="R62" s="56"/>
      <c r="S62" s="56">
        <f>G62*LOOKUP($A62,Barèmes!$A$65:$A$148,Barèmes!$AC$65:$AC$148)</f>
        <v>7395.7745898751791</v>
      </c>
      <c r="T62" s="56">
        <f>IF(AND($D62=0,Simulation!$D$14="Chômage",Simulation!$D$17="Oui",$B62&gt;=Simulation!$D$5,$B62&lt;Simulation!$D$6),IF($T61&lt;&gt;0,$T61,0),S62/LOOKUP($A62,Barèmes!$AB$65:$AB$148,Barèmes!$BA$65:$BA$148))</f>
        <v>176.23127580642515</v>
      </c>
      <c r="U62" s="181">
        <f>K62*LOOKUP($A62,Barèmes!$A$65:$A$148,Barèmes!$AF$65:$AF$148)</f>
        <v>0</v>
      </c>
      <c r="V62" s="56">
        <f>IF(AND($D62=0,Simulation!$D$14="Chômage",Simulation!$D$17="Oui",$B62&gt;=Simulation!$D$5,$B62&lt;Simulation!$D$6),IF($V61&lt;&gt;0,$V61,0),U62/LOOKUP($A62,Barèmes!$AB$65:$AB$148,Barèmes!$BA$65:$BA$148))</f>
        <v>0</v>
      </c>
      <c r="X62" s="80">
        <f>IF($B62=Simulation!$D$6,1,X63*(1+LOOKUP($A62,Barèmes!$A$65:$A$148,Barèmes!$T$65:$T$148)))</f>
        <v>1.0353062500000001</v>
      </c>
      <c r="Y62" s="358">
        <f t="shared" si="1"/>
        <v>123498.57664375001</v>
      </c>
      <c r="Z62" s="43">
        <f t="shared" si="2"/>
        <v>2</v>
      </c>
      <c r="AA62" s="56">
        <f>IF(AND($B62&gt;=Simulation!$D$5,$B62&lt;Simulation!$D$6),IF(AND(Simulation!$D$14="Enfants",Simulation!$D$10&gt;0,Simulation!$D$21="Oui",Info_cas_type!$H50=0),4,0),0)</f>
        <v>0</v>
      </c>
      <c r="AB62" s="56">
        <f>IF(AND(Simulation!$D$14="Chômage",Simulation!$D$18="Oui",$B62&gt;=Simulation!$D$5,$B62&lt;Simulation!$D$6,$C62=0),4,0)</f>
        <v>0</v>
      </c>
      <c r="AC62" s="81">
        <f>MIN(4,MIN($C62,LOOKUP($A62,Barèmes!$A$65:$A$148,Barèmes!$V$65:$V$148))/LOOKUP($A62,Barèmes!$A$65:$A$148,Barèmes!$S$65:$S$148))</f>
        <v>4</v>
      </c>
    </row>
    <row r="63" spans="1:29" x14ac:dyDescent="0.25">
      <c r="A63" s="15">
        <f>B63+Simulation!$D$4</f>
        <v>2063</v>
      </c>
      <c r="B63" s="273">
        <v>63</v>
      </c>
      <c r="C63" s="352">
        <f>Salaires!C53</f>
        <v>122952.06860621883</v>
      </c>
      <c r="D63" s="56">
        <f>IF(AND(Simulation!$D$10&gt;0,Simulation!$D$21="Oui",$B63&gt;=Simulation!$D$5,$B63&lt;Simulation!$D$6),IF($C63&gt;0,C63,LOOKUP($A63,Barèmes!$A$65:$A$148,Barèmes!$W$65:$W$148)),MIN($C63,LOOKUP($A63,Barèmes!$A$65:$A$148,Barèmes!$V$65:$V$148)))</f>
        <v>122952.06860621883</v>
      </c>
      <c r="E63" s="56"/>
      <c r="F63" s="63">
        <f>IF(Simulation!$D$44="Oui",IF(C63=0,0,MIN(1,MAX(0,(1.6*LOOKUP(A63,Barèmes!$A$65:$A$148,Barèmes!$F$65:$F$148)/C63-1)/0.6))),0)</f>
        <v>0</v>
      </c>
      <c r="G63" s="181">
        <f>Salaires!D53</f>
        <v>122952.06860621883</v>
      </c>
      <c r="H63" s="56">
        <f>G63*(LOOKUP($A63,Barèmes!$AB$65:$AB$148,Barèmes!$L$65:$L$148)*(1-F63)+LOOKUP($A63,Barèmes!$AB$65:$AB$148,Barèmes!$M$65:$M$148))</f>
        <v>21823.992177603843</v>
      </c>
      <c r="I63" s="56">
        <f>G63*((IF($A63&gt;=2019,1-$F63,1))*(LOOKUP($A63,Barèmes!$A$65:$A$148,Barèmes!$AD$65:$AD$148)*LOOKUP($A63,Barèmes!$A$65:$A$148,Barèmes!$AI$65:$AI$148)+LOOKUP($A63,Barèmes!$A$65:$A$148,Barèmes!$AR$65:$AR$148)+IF(C63&gt;=LOOKUP($A63,Barèmes!$A$65:$A$148,Barèmes!$V$65:$V$148),LOOKUP($A63,Barèmes!$A$65:$A$148,Barèmes!$AM$65:$AM$148),0)))+G63*(LOOKUP($A63,Barèmes!$A$65:$A$148,Barèmes!$AE$65:$AE$148)*LOOKUP($A63,Barèmes!$A$65:$A$148,Barèmes!$AI$65:$AI$148)+LOOKUP($A63,Barèmes!$A$65:$A$148,Barèmes!$AS$65:$AS$148)+IF(C63&gt;=LOOKUP($A63,Barèmes!$A$65:$A$148,Barèmes!$V$65:$V$148),LOOKUP($A63,Barèmes!$A$65:$A$148,Barèmes!$AN$65:$AN$148),0))</f>
        <v>12324.715357087376</v>
      </c>
      <c r="J63" s="220">
        <f>IF(AND($B63&gt;=Simulation!$D$5,$B63&lt;Simulation!$D$6,$I63=0,Simulation!$D$14="Chômage",Simulation!$D$17="Oui"),IF(G62&gt;0,G62*0.03,J62),0)</f>
        <v>0</v>
      </c>
      <c r="K63" s="181">
        <f>Salaires!F53</f>
        <v>0</v>
      </c>
      <c r="L63" s="56">
        <f>K63*(LOOKUP($A63,Barèmes!$AB$65:$AB$148,Barèmes!$O$65:$O$148)*(1-$F63)+LOOKUP($A63,Barèmes!$AB$65:$AB$148,Barèmes!$P$65:$P$148))</f>
        <v>0</v>
      </c>
      <c r="M63" s="56">
        <f>Salaires!E53</f>
        <v>0</v>
      </c>
      <c r="N63" s="56">
        <f>M63*((IF($A63&gt;=2019,1-$F63,1))*(LOOKUP($A63,Barèmes!$A$65:$A$148,Barèmes!$AG$65:$AG$148)*LOOKUP($A63,Barèmes!$A$65:$A$148,Barèmes!$AI$65:$AI$148)+LOOKUP($A63,Barèmes!$A$65:$A$148,Barèmes!$AW$65:$AW$148)+IF($C63&gt;=LOOKUP($A63,Barèmes!$A$65:$A$148,Barèmes!$V$65:$V$148),LOOKUP($A63,Barèmes!$A$65:$A$148,Barèmes!$AM$65:$AM$148),0)))+M63*(LOOKUP($A63,Barèmes!$A$65:$A$148,Barèmes!$AH$65:$AH$148)*LOOKUP($A63,Barèmes!$A$65:$A$148,Barèmes!$AI$65:$AI$148)+LOOKUP($A63,Barèmes!$A$65:$A$148,Barèmes!$AX$65:$AX$148)+IF($C63&gt;=LOOKUP($A63,Barèmes!$A$65:$A$148,Barèmes!$V$65:$V$148),LOOKUP($A63,Barèmes!$A$65:$A$148,Barèmes!$AN$65:$AN$148),0))</f>
        <v>0</v>
      </c>
      <c r="O63" s="56">
        <f>IF(AND($B63&gt;=Simulation!$D$5,$B63&lt;Simulation!$D$6,$N63=0,Simulation!$D$14="Chômage",Simulation!$D$17="Oui"),IF(M62&gt;0,M62*0.03,O62),0)</f>
        <v>0</v>
      </c>
      <c r="Q63" s="91">
        <f t="shared" si="0"/>
        <v>34148.707534691217</v>
      </c>
      <c r="R63" s="56"/>
      <c r="S63" s="56">
        <f>G63*LOOKUP($A63,Barèmes!$A$65:$A$148,Barèmes!$AC$65:$AC$148)</f>
        <v>7623.0282535855677</v>
      </c>
      <c r="T63" s="56">
        <f>IF(AND($D63=0,Simulation!$D$14="Chômage",Simulation!$D$17="Oui",$B63&gt;=Simulation!$D$5,$B63&lt;Simulation!$D$6),IF($T62&lt;&gt;0,$T62,0),S63/LOOKUP($A63,Barèmes!$AB$65:$AB$148,Barèmes!$BA$65:$BA$148))</f>
        <v>178.2243157007855</v>
      </c>
      <c r="U63" s="181">
        <f>K63*LOOKUP($A63,Barèmes!$A$65:$A$148,Barèmes!$AF$65:$AF$148)</f>
        <v>0</v>
      </c>
      <c r="V63" s="56">
        <f>IF(AND($D63=0,Simulation!$D$14="Chômage",Simulation!$D$17="Oui",$B63&gt;=Simulation!$D$5,$B63&lt;Simulation!$D$6),IF($V62&lt;&gt;0,$V62,0),U63/LOOKUP($A63,Barèmes!$AB$65:$AB$148,Barèmes!$BA$65:$BA$148))</f>
        <v>0</v>
      </c>
      <c r="X63" s="80">
        <f>IF($B63=Simulation!$D$6,1,X64*(1+LOOKUP($A63,Barèmes!$A$65:$A$148,Barèmes!$T$65:$T$148)))</f>
        <v>1.0175000000000001</v>
      </c>
      <c r="Y63" s="358">
        <f t="shared" si="1"/>
        <v>125103.66</v>
      </c>
      <c r="Z63" s="43">
        <f t="shared" si="2"/>
        <v>1</v>
      </c>
      <c r="AA63" s="56">
        <f>IF(AND($B63&gt;=Simulation!$D$5,$B63&lt;Simulation!$D$6),IF(AND(Simulation!$D$14="Enfants",Simulation!$D$10&gt;0,Simulation!$D$21="Oui",Info_cas_type!$H51=0),4,0),0)</f>
        <v>0</v>
      </c>
      <c r="AB63" s="56">
        <f>IF(AND(Simulation!$D$14="Chômage",Simulation!$D$18="Oui",$B63&gt;=Simulation!$D$5,$B63&lt;Simulation!$D$6,$C63=0),4,0)</f>
        <v>0</v>
      </c>
      <c r="AC63" s="81">
        <f>MIN(4,MIN($C63,LOOKUP($A63,Barèmes!$A$65:$A$148,Barèmes!$V$65:$V$148))/LOOKUP($A63,Barèmes!$A$65:$A$148,Barèmes!$S$65:$S$148))</f>
        <v>4</v>
      </c>
    </row>
    <row r="64" spans="1:29" x14ac:dyDescent="0.25">
      <c r="A64" s="15">
        <f>B64+Simulation!$D$4</f>
        <v>2064</v>
      </c>
      <c r="B64" s="273">
        <v>64</v>
      </c>
      <c r="C64" s="352">
        <f>Salaires!C54</f>
        <v>0</v>
      </c>
      <c r="D64" s="56">
        <f>IF(AND(Simulation!$D$10&gt;0,Simulation!$D$21="Oui",$B64&gt;=Simulation!$D$5,$B64&lt;Simulation!$D$6),IF($C64&gt;0,C64,LOOKUP($A64,Barèmes!$A$65:$A$148,Barèmes!$W$65:$W$148)),MIN($C64,LOOKUP($A64,Barèmes!$A$65:$A$148,Barèmes!$V$65:$V$148)))</f>
        <v>0</v>
      </c>
      <c r="E64" s="56"/>
      <c r="F64" s="63">
        <f>IF(Simulation!$D$44="Oui",IF(C64=0,0,MIN(1,MAX(0,(1.6*LOOKUP(A64,Barèmes!$A$65:$A$148,Barèmes!$F$65:$F$148)/C64-1)/0.6))),0)</f>
        <v>0</v>
      </c>
      <c r="G64" s="181">
        <f>Salaires!D54</f>
        <v>0</v>
      </c>
      <c r="H64" s="56">
        <f>G64*(LOOKUP($A64,Barèmes!$AB$65:$AB$148,Barèmes!$L$65:$L$148)*(1-F64)+LOOKUP($A64,Barèmes!$AB$65:$AB$148,Barèmes!$M$65:$M$148))</f>
        <v>0</v>
      </c>
      <c r="I64" s="56">
        <f>G64*((IF($A64&gt;=2019,1-$F64,1))*(LOOKUP($A64,Barèmes!$A$65:$A$148,Barèmes!$AD$65:$AD$148)*LOOKUP($A64,Barèmes!$A$65:$A$148,Barèmes!$AI$65:$AI$148)+LOOKUP($A64,Barèmes!$A$65:$A$148,Barèmes!$AR$65:$AR$148)+IF(C64&gt;=LOOKUP($A64,Barèmes!$A$65:$A$148,Barèmes!$V$65:$V$148),LOOKUP($A64,Barèmes!$A$65:$A$148,Barèmes!$AM$65:$AM$148),0)))+G64*(LOOKUP($A64,Barèmes!$A$65:$A$148,Barèmes!$AE$65:$AE$148)*LOOKUP($A64,Barèmes!$A$65:$A$148,Barèmes!$AI$65:$AI$148)+LOOKUP($A64,Barèmes!$A$65:$A$148,Barèmes!$AS$65:$AS$148)+IF(C64&gt;=LOOKUP($A64,Barèmes!$A$65:$A$148,Barèmes!$V$65:$V$148),LOOKUP($A64,Barèmes!$A$65:$A$148,Barèmes!$AN$65:$AN$148),0))</f>
        <v>0</v>
      </c>
      <c r="J64" s="220">
        <f>IF(AND($B64&gt;=Simulation!$D$5,$B64&lt;Simulation!$D$6,$I64=0,Simulation!$D$14="Chômage",Simulation!$D$17="Oui"),IF(G63&gt;0,G63*0.03,J63),0)</f>
        <v>0</v>
      </c>
      <c r="K64" s="181">
        <f>Salaires!F54</f>
        <v>0</v>
      </c>
      <c r="L64" s="56">
        <f>K64*(LOOKUP($A64,Barèmes!$AB$65:$AB$148,Barèmes!$O$65:$O$148)*(1-$F64)+LOOKUP($A64,Barèmes!$AB$65:$AB$148,Barèmes!$P$65:$P$148))</f>
        <v>0</v>
      </c>
      <c r="M64" s="56">
        <f>Salaires!E54</f>
        <v>0</v>
      </c>
      <c r="N64" s="56">
        <f>M64*((IF($A64&gt;=2019,1-$F64,1))*(LOOKUP($A64,Barèmes!$A$65:$A$148,Barèmes!$AG$65:$AG$148)*LOOKUP($A64,Barèmes!$A$65:$A$148,Barèmes!$AI$65:$AI$148)+LOOKUP($A64,Barèmes!$A$65:$A$148,Barèmes!$AW$65:$AW$148)+IF($C64&gt;=LOOKUP($A64,Barèmes!$A$65:$A$148,Barèmes!$V$65:$V$148),LOOKUP($A64,Barèmes!$A$65:$A$148,Barèmes!$AM$65:$AM$148),0)))+M64*(LOOKUP($A64,Barèmes!$A$65:$A$148,Barèmes!$AH$65:$AH$148)*LOOKUP($A64,Barèmes!$A$65:$A$148,Barèmes!$AI$65:$AI$148)+LOOKUP($A64,Barèmes!$A$65:$A$148,Barèmes!$AX$65:$AX$148)+IF($C64&gt;=LOOKUP($A64,Barèmes!$A$65:$A$148,Barèmes!$V$65:$V$148),LOOKUP($A64,Barèmes!$A$65:$A$148,Barèmes!$AN$65:$AN$148),0))</f>
        <v>0</v>
      </c>
      <c r="O64" s="56">
        <f>IF(AND($B64&gt;=Simulation!$D$5,$B64&lt;Simulation!$D$6,$N64=0,Simulation!$D$14="Chômage",Simulation!$D$17="Oui"),IF(M63&gt;0,M63*0.03,O63),0)</f>
        <v>0</v>
      </c>
      <c r="Q64" s="91">
        <f t="shared" si="0"/>
        <v>0</v>
      </c>
      <c r="R64" s="56"/>
      <c r="S64" s="56">
        <f>G64*LOOKUP($A64,Barèmes!$A$65:$A$148,Barèmes!$AC$65:$AC$148)</f>
        <v>0</v>
      </c>
      <c r="T64" s="56">
        <f>IF(AND($D64=0,Simulation!$D$14="Chômage",Simulation!$D$17="Oui",$B64&gt;=Simulation!$D$5,$B64&lt;Simulation!$D$6),IF($T63&lt;&gt;0,$T63,0),S64/LOOKUP($A64,Barèmes!$AB$65:$AB$148,Barèmes!$BA$65:$BA$148))</f>
        <v>0</v>
      </c>
      <c r="U64" s="181">
        <f>K64*LOOKUP($A64,Barèmes!$A$65:$A$148,Barèmes!$AF$65:$AF$148)</f>
        <v>0</v>
      </c>
      <c r="V64" s="56">
        <f>IF(AND($D64=0,Simulation!$D$14="Chômage",Simulation!$D$17="Oui",$B64&gt;=Simulation!$D$5,$B64&lt;Simulation!$D$6),IF($V63&lt;&gt;0,$V63,0),U64/LOOKUP($A64,Barèmes!$AB$65:$AB$148,Barèmes!$BA$65:$BA$148))</f>
        <v>0</v>
      </c>
      <c r="X64" s="80">
        <f>IF($B64=Simulation!$D$6,1,X65*(1+LOOKUP($A64,Barèmes!$A$65:$A$148,Barèmes!$T$65:$T$148)))</f>
        <v>1</v>
      </c>
      <c r="Y64" s="358">
        <f t="shared" si="1"/>
        <v>0</v>
      </c>
      <c r="Z64" s="43" t="str">
        <f t="shared" si="2"/>
        <v/>
      </c>
      <c r="AA64" s="56">
        <f>IF(AND($B64&gt;=Simulation!$D$5,$B64&lt;Simulation!$D$6),IF(AND(Simulation!$D$14="Enfants",Simulation!$D$10&gt;0,Simulation!$D$21="Oui",Info_cas_type!$H52=0),4,0),0)</f>
        <v>0</v>
      </c>
      <c r="AB64" s="56">
        <f>IF(AND(Simulation!$D$14="Chômage",Simulation!$D$18="Oui",$B64&gt;=Simulation!$D$5,$B64&lt;Simulation!$D$6,$C64=0),4,0)</f>
        <v>0</v>
      </c>
      <c r="AC64" s="81">
        <f>MIN(4,MIN($C64,LOOKUP($A64,Barèmes!$A$65:$A$148,Barèmes!$V$65:$V$148))/LOOKUP($A64,Barèmes!$A$65:$A$148,Barèmes!$S$65:$S$148))</f>
        <v>0</v>
      </c>
    </row>
    <row r="65" spans="1:29" x14ac:dyDescent="0.25">
      <c r="A65" s="15">
        <f>B65+Simulation!$D$4</f>
        <v>2065</v>
      </c>
      <c r="B65" s="273">
        <v>65</v>
      </c>
      <c r="C65" s="352">
        <f>Salaires!C55</f>
        <v>0</v>
      </c>
      <c r="D65" s="56">
        <f>IF(AND(Simulation!$D$10&gt;0,Simulation!$D$21="Oui",$B65&gt;=Simulation!$D$5,$B65&lt;Simulation!$D$6),IF($C65&gt;0,C65,LOOKUP($A65,Barèmes!$A$65:$A$148,Barèmes!$W$65:$W$148)),MIN($C65,LOOKUP($A65,Barèmes!$A$65:$A$148,Barèmes!$V$65:$V$148)))</f>
        <v>0</v>
      </c>
      <c r="E65" s="56"/>
      <c r="F65" s="63">
        <f>IF(Simulation!$D$44="Oui",IF(C65=0,0,MIN(1,MAX(0,(1.6*LOOKUP(A65,Barèmes!$A$65:$A$148,Barèmes!$F$65:$F$148)/C65-1)/0.6))),0)</f>
        <v>0</v>
      </c>
      <c r="G65" s="181">
        <f>Salaires!D55</f>
        <v>0</v>
      </c>
      <c r="H65" s="56">
        <f>G65*(LOOKUP($A65,Barèmes!$AB$65:$AB$148,Barèmes!$L$65:$L$148)*(1-F65)+LOOKUP($A65,Barèmes!$AB$65:$AB$148,Barèmes!$M$65:$M$148))</f>
        <v>0</v>
      </c>
      <c r="I65" s="56">
        <f>G65*((IF($A65&gt;=2019,1-$F65,1))*(LOOKUP($A65,Barèmes!$A$65:$A$148,Barèmes!$AD$65:$AD$148)*LOOKUP($A65,Barèmes!$A$65:$A$148,Barèmes!$AI$65:$AI$148)+LOOKUP($A65,Barèmes!$A$65:$A$148,Barèmes!$AR$65:$AR$148)+IF(C65&gt;=LOOKUP($A65,Barèmes!$A$65:$A$148,Barèmes!$V$65:$V$148),LOOKUP($A65,Barèmes!$A$65:$A$148,Barèmes!$AM$65:$AM$148),0)))+G65*(LOOKUP($A65,Barèmes!$A$65:$A$148,Barèmes!$AE$65:$AE$148)*LOOKUP($A65,Barèmes!$A$65:$A$148,Barèmes!$AI$65:$AI$148)+LOOKUP($A65,Barèmes!$A$65:$A$148,Barèmes!$AS$65:$AS$148)+IF(C65&gt;=LOOKUP($A65,Barèmes!$A$65:$A$148,Barèmes!$V$65:$V$148),LOOKUP($A65,Barèmes!$A$65:$A$148,Barèmes!$AN$65:$AN$148),0))</f>
        <v>0</v>
      </c>
      <c r="J65" s="220">
        <f>IF(AND($B65&gt;=Simulation!$D$5,$B65&lt;Simulation!$D$6,$I65=0,Simulation!$D$14="Chômage",Simulation!$D$17="Oui"),IF(G64&gt;0,G64*0.03,J64),0)</f>
        <v>0</v>
      </c>
      <c r="K65" s="181">
        <f>Salaires!F55</f>
        <v>0</v>
      </c>
      <c r="L65" s="56">
        <f>K65*(LOOKUP($A65,Barèmes!$AB$65:$AB$148,Barèmes!$O$65:$O$148)*(1-$F65)+LOOKUP($A65,Barèmes!$AB$65:$AB$148,Barèmes!$P$65:$P$148))</f>
        <v>0</v>
      </c>
      <c r="M65" s="56">
        <f>Salaires!E55</f>
        <v>0</v>
      </c>
      <c r="N65" s="56">
        <f>M65*((IF($A65&gt;=2019,1-$F65,1))*(LOOKUP($A65,Barèmes!$A$65:$A$148,Barèmes!$AG$65:$AG$148)*LOOKUP($A65,Barèmes!$A$65:$A$148,Barèmes!$AI$65:$AI$148)+LOOKUP($A65,Barèmes!$A$65:$A$148,Barèmes!$AW$65:$AW$148)+IF($C65&gt;=LOOKUP($A65,Barèmes!$A$65:$A$148,Barèmes!$V$65:$V$148),LOOKUP($A65,Barèmes!$A$65:$A$148,Barèmes!$AM$65:$AM$148),0)))+M65*(LOOKUP($A65,Barèmes!$A$65:$A$148,Barèmes!$AH$65:$AH$148)*LOOKUP($A65,Barèmes!$A$65:$A$148,Barèmes!$AI$65:$AI$148)+LOOKUP($A65,Barèmes!$A$65:$A$148,Barèmes!$AX$65:$AX$148)+IF($C65&gt;=LOOKUP($A65,Barèmes!$A$65:$A$148,Barèmes!$V$65:$V$148),LOOKUP($A65,Barèmes!$A$65:$A$148,Barèmes!$AN$65:$AN$148),0))</f>
        <v>0</v>
      </c>
      <c r="O65" s="56">
        <f>IF(AND($B65&gt;=Simulation!$D$5,$B65&lt;Simulation!$D$6,$N65=0,Simulation!$D$14="Chômage",Simulation!$D$17="Oui"),IF(M64&gt;0,M64*0.03,O64),0)</f>
        <v>0</v>
      </c>
      <c r="Q65" s="91">
        <f t="shared" si="0"/>
        <v>0</v>
      </c>
      <c r="R65" s="56"/>
      <c r="S65" s="56">
        <f>G65*LOOKUP($A65,Barèmes!$A$65:$A$148,Barèmes!$AC$65:$AC$148)</f>
        <v>0</v>
      </c>
      <c r="T65" s="56">
        <f>IF(AND($D65=0,Simulation!$D$14="Chômage",Simulation!$D$17="Oui",$B65&gt;=Simulation!$D$5,$B65&lt;Simulation!$D$6),IF($T64&lt;&gt;0,$T64,0),S65/LOOKUP($A65,Barèmes!$AB$65:$AB$148,Barèmes!$BA$65:$BA$148))</f>
        <v>0</v>
      </c>
      <c r="U65" s="181">
        <f>K65*LOOKUP($A65,Barèmes!$A$65:$A$148,Barèmes!$AF$65:$AF$148)</f>
        <v>0</v>
      </c>
      <c r="V65" s="56">
        <f>IF(AND($D65=0,Simulation!$D$14="Chômage",Simulation!$D$17="Oui",$B65&gt;=Simulation!$D$5,$B65&lt;Simulation!$D$6),IF($V64&lt;&gt;0,$V64,0),U65/LOOKUP($A65,Barèmes!$AB$65:$AB$148,Barèmes!$BA$65:$BA$148))</f>
        <v>0</v>
      </c>
      <c r="X65" s="80">
        <f>IF($B65=Simulation!$D$6,1,X66*(1+LOOKUP($A65,Barèmes!$A$65:$A$148,Barèmes!$T$65:$T$148)))</f>
        <v>0</v>
      </c>
      <c r="Y65" s="358">
        <f t="shared" si="1"/>
        <v>0</v>
      </c>
      <c r="Z65" s="43" t="str">
        <f t="shared" si="2"/>
        <v/>
      </c>
      <c r="AA65" s="56">
        <f>IF(AND($B65&gt;=Simulation!$D$5,$B65&lt;Simulation!$D$6),IF(AND(Simulation!$D$14="Enfants",Simulation!$D$10&gt;0,Simulation!$D$21="Oui",Info_cas_type!$H53=0),4,0),0)</f>
        <v>0</v>
      </c>
      <c r="AB65" s="56">
        <f>IF(AND(Simulation!$D$14="Chômage",Simulation!$D$18="Oui",$B65&gt;=Simulation!$D$5,$B65&lt;Simulation!$D$6,$C65=0),4,0)</f>
        <v>0</v>
      </c>
      <c r="AC65" s="81">
        <f>MIN(4,MIN($C65,LOOKUP($A65,Barèmes!$A$65:$A$148,Barèmes!$V$65:$V$148))/LOOKUP($A65,Barèmes!$A$65:$A$148,Barèmes!$S$65:$S$148))</f>
        <v>0</v>
      </c>
    </row>
    <row r="66" spans="1:29" x14ac:dyDescent="0.25">
      <c r="A66" s="15">
        <f>B66+Simulation!$D$4</f>
        <v>2066</v>
      </c>
      <c r="B66" s="273">
        <v>66</v>
      </c>
      <c r="C66" s="352">
        <f>Salaires!C56</f>
        <v>0</v>
      </c>
      <c r="D66" s="56">
        <f>IF(AND(Simulation!$D$10&gt;0,Simulation!$D$21="Oui",$B66&gt;=Simulation!$D$5,$B66&lt;Simulation!$D$6),IF($C66&gt;0,C66,LOOKUP($A66,Barèmes!$A$65:$A$148,Barèmes!$W$65:$W$148)),MIN($C66,LOOKUP($A66,Barèmes!$A$65:$A$148,Barèmes!$V$65:$V$148)))</f>
        <v>0</v>
      </c>
      <c r="E66" s="56"/>
      <c r="F66" s="63">
        <f>IF(Simulation!$D$44="Oui",IF(C66=0,0,MIN(1,MAX(0,(1.6*LOOKUP(A66,Barèmes!$A$65:$A$148,Barèmes!$F$65:$F$148)/C66-1)/0.6))),0)</f>
        <v>0</v>
      </c>
      <c r="G66" s="181">
        <f>Salaires!D56</f>
        <v>0</v>
      </c>
      <c r="H66" s="56">
        <f>G66*(LOOKUP($A66,Barèmes!$AB$65:$AB$148,Barèmes!$L$65:$L$148)*(1-F66)+LOOKUP($A66,Barèmes!$AB$65:$AB$148,Barèmes!$M$65:$M$148))</f>
        <v>0</v>
      </c>
      <c r="I66" s="56">
        <f>G66*((IF($A66&gt;=2019,1-$F66,1))*(LOOKUP($A66,Barèmes!$A$65:$A$148,Barèmes!$AD$65:$AD$148)*LOOKUP($A66,Barèmes!$A$65:$A$148,Barèmes!$AI$65:$AI$148)+LOOKUP($A66,Barèmes!$A$65:$A$148,Barèmes!$AR$65:$AR$148)+IF(C66&gt;=LOOKUP($A66,Barèmes!$A$65:$A$148,Barèmes!$V$65:$V$148),LOOKUP($A66,Barèmes!$A$65:$A$148,Barèmes!$AM$65:$AM$148),0)))+G66*(LOOKUP($A66,Barèmes!$A$65:$A$148,Barèmes!$AE$65:$AE$148)*LOOKUP($A66,Barèmes!$A$65:$A$148,Barèmes!$AI$65:$AI$148)+LOOKUP($A66,Barèmes!$A$65:$A$148,Barèmes!$AS$65:$AS$148)+IF(C66&gt;=LOOKUP($A66,Barèmes!$A$65:$A$148,Barèmes!$V$65:$V$148),LOOKUP($A66,Barèmes!$A$65:$A$148,Barèmes!$AN$65:$AN$148),0))</f>
        <v>0</v>
      </c>
      <c r="J66" s="220">
        <f>IF(AND($B66&gt;=Simulation!$D$5,$B66&lt;Simulation!$D$6,$I66=0,Simulation!$D$14="Chômage",Simulation!$D$17="Oui"),IF(G65&gt;0,G65*0.03,J65),0)</f>
        <v>0</v>
      </c>
      <c r="K66" s="181">
        <f>Salaires!F56</f>
        <v>0</v>
      </c>
      <c r="L66" s="56">
        <f>K66*(LOOKUP($A66,Barèmes!$AB$65:$AB$148,Barèmes!$O$65:$O$148)*(1-$F66)+LOOKUP($A66,Barèmes!$AB$65:$AB$148,Barèmes!$P$65:$P$148))</f>
        <v>0</v>
      </c>
      <c r="M66" s="56">
        <f>Salaires!E56</f>
        <v>0</v>
      </c>
      <c r="N66" s="56">
        <f>M66*((IF($A66&gt;=2019,1-$F66,1))*(LOOKUP($A66,Barèmes!$A$65:$A$148,Barèmes!$AG$65:$AG$148)*LOOKUP($A66,Barèmes!$A$65:$A$148,Barèmes!$AI$65:$AI$148)+LOOKUP($A66,Barèmes!$A$65:$A$148,Barèmes!$AW$65:$AW$148)+IF($C66&gt;=LOOKUP($A66,Barèmes!$A$65:$A$148,Barèmes!$V$65:$V$148),LOOKUP($A66,Barèmes!$A$65:$A$148,Barèmes!$AM$65:$AM$148),0)))+M66*(LOOKUP($A66,Barèmes!$A$65:$A$148,Barèmes!$AH$65:$AH$148)*LOOKUP($A66,Barèmes!$A$65:$A$148,Barèmes!$AI$65:$AI$148)+LOOKUP($A66,Barèmes!$A$65:$A$148,Barèmes!$AX$65:$AX$148)+IF($C66&gt;=LOOKUP($A66,Barèmes!$A$65:$A$148,Barèmes!$V$65:$V$148),LOOKUP($A66,Barèmes!$A$65:$A$148,Barèmes!$AN$65:$AN$148),0))</f>
        <v>0</v>
      </c>
      <c r="O66" s="56">
        <f>IF(AND($B66&gt;=Simulation!$D$5,$B66&lt;Simulation!$D$6,$N66=0,Simulation!$D$14="Chômage",Simulation!$D$17="Oui"),IF(M65&gt;0,M65*0.03,O65),0)</f>
        <v>0</v>
      </c>
      <c r="Q66" s="91">
        <f t="shared" si="0"/>
        <v>0</v>
      </c>
      <c r="R66" s="56"/>
      <c r="S66" s="56">
        <f>G66*LOOKUP($A66,Barèmes!$A$65:$A$148,Barèmes!$AC$65:$AC$148)</f>
        <v>0</v>
      </c>
      <c r="T66" s="56">
        <f>IF(AND($D66=0,Simulation!$D$14="Chômage",Simulation!$D$17="Oui",$B66&gt;=Simulation!$D$5,$B66&lt;Simulation!$D$6),IF($T65&lt;&gt;0,$T65,0),S66/LOOKUP($A66,Barèmes!$AB$65:$AB$148,Barèmes!$BA$65:$BA$148))</f>
        <v>0</v>
      </c>
      <c r="U66" s="181">
        <f>K66*LOOKUP($A66,Barèmes!$A$65:$A$148,Barèmes!$AF$65:$AF$148)</f>
        <v>0</v>
      </c>
      <c r="V66" s="56">
        <f>IF(AND($D66=0,Simulation!$D$14="Chômage",Simulation!$D$17="Oui",$B66&gt;=Simulation!$D$5,$B66&lt;Simulation!$D$6),IF($V65&lt;&gt;0,$V65,0),U66/LOOKUP($A66,Barèmes!$AB$65:$AB$148,Barèmes!$BA$65:$BA$148))</f>
        <v>0</v>
      </c>
      <c r="X66" s="80">
        <f>IF($B66=Simulation!$D$6,1,X67*(1+LOOKUP($A66,Barèmes!$A$65:$A$148,Barèmes!$T$65:$T$148)))</f>
        <v>0</v>
      </c>
      <c r="Y66" s="358">
        <f t="shared" si="1"/>
        <v>0</v>
      </c>
      <c r="Z66" s="43" t="str">
        <f t="shared" si="2"/>
        <v/>
      </c>
      <c r="AA66" s="56">
        <f>IF(AND($B66&gt;=Simulation!$D$5,$B66&lt;Simulation!$D$6),IF(AND(Simulation!$D$14="Enfants",Simulation!$D$10&gt;0,Simulation!$D$21="Oui",Info_cas_type!$H54=0),4,0),0)</f>
        <v>0</v>
      </c>
      <c r="AB66" s="56">
        <f>IF(AND(Simulation!$D$14="Chômage",Simulation!$D$18="Oui",$B66&gt;=Simulation!$D$5,$B66&lt;Simulation!$D$6,$C66=0),4,0)</f>
        <v>0</v>
      </c>
      <c r="AC66" s="81">
        <f>MIN(4,MIN($C66,LOOKUP($A66,Barèmes!$A$65:$A$148,Barèmes!$V$65:$V$148))/LOOKUP($A66,Barèmes!$A$65:$A$148,Barèmes!$S$65:$S$148))</f>
        <v>0</v>
      </c>
    </row>
    <row r="67" spans="1:29" x14ac:dyDescent="0.25">
      <c r="A67" s="15">
        <f>B67+Simulation!$D$4</f>
        <v>2067</v>
      </c>
      <c r="B67" s="273">
        <v>67</v>
      </c>
      <c r="C67" s="352">
        <f>Salaires!C57</f>
        <v>0</v>
      </c>
      <c r="D67" s="56">
        <f>IF(AND(Simulation!$D$10&gt;0,Simulation!$D$21="Oui",$B67&gt;=Simulation!$D$5,$B67&lt;Simulation!$D$6),IF($C67&gt;0,C67,LOOKUP($A67,Barèmes!$A$65:$A$148,Barèmes!$W$65:$W$148)),MIN($C67,LOOKUP($A67,Barèmes!$A$65:$A$148,Barèmes!$V$65:$V$148)))</f>
        <v>0</v>
      </c>
      <c r="E67" s="56"/>
      <c r="F67" s="63">
        <f>IF(Simulation!$D$44="Oui",IF(C67=0,0,MIN(1,MAX(0,(1.6*LOOKUP(A67,Barèmes!$A$65:$A$148,Barèmes!$F$65:$F$148)/C67-1)/0.6))),0)</f>
        <v>0</v>
      </c>
      <c r="G67" s="181">
        <f>Salaires!D57</f>
        <v>0</v>
      </c>
      <c r="H67" s="56">
        <f>G67*(LOOKUP($A67,Barèmes!$AB$65:$AB$148,Barèmes!$L$65:$L$148)*(1-F67)+LOOKUP($A67,Barèmes!$AB$65:$AB$148,Barèmes!$M$65:$M$148))</f>
        <v>0</v>
      </c>
      <c r="I67" s="56">
        <f>G67*((IF($A67&gt;=2019,1-$F67,1))*(LOOKUP($A67,Barèmes!$A$65:$A$148,Barèmes!$AD$65:$AD$148)*LOOKUP($A67,Barèmes!$A$65:$A$148,Barèmes!$AI$65:$AI$148)+LOOKUP($A67,Barèmes!$A$65:$A$148,Barèmes!$AR$65:$AR$148)+IF(C67&gt;=LOOKUP($A67,Barèmes!$A$65:$A$148,Barèmes!$V$65:$V$148),LOOKUP($A67,Barèmes!$A$65:$A$148,Barèmes!$AM$65:$AM$148),0)))+G67*(LOOKUP($A67,Barèmes!$A$65:$A$148,Barèmes!$AE$65:$AE$148)*LOOKUP($A67,Barèmes!$A$65:$A$148,Barèmes!$AI$65:$AI$148)+LOOKUP($A67,Barèmes!$A$65:$A$148,Barèmes!$AS$65:$AS$148)+IF(C67&gt;=LOOKUP($A67,Barèmes!$A$65:$A$148,Barèmes!$V$65:$V$148),LOOKUP($A67,Barèmes!$A$65:$A$148,Barèmes!$AN$65:$AN$148),0))</f>
        <v>0</v>
      </c>
      <c r="J67" s="220">
        <f>IF(AND($B67&gt;=Simulation!$D$5,$B67&lt;Simulation!$D$6,$I67=0,Simulation!$D$14="Chômage",Simulation!$D$17="Oui"),IF(G66&gt;0,G66*0.03,J66),0)</f>
        <v>0</v>
      </c>
      <c r="K67" s="181">
        <f>Salaires!F57</f>
        <v>0</v>
      </c>
      <c r="L67" s="56">
        <f>K67*(LOOKUP($A67,Barèmes!$AB$65:$AB$148,Barèmes!$O$65:$O$148)*(1-$F67)+LOOKUP($A67,Barèmes!$AB$65:$AB$148,Barèmes!$P$65:$P$148))</f>
        <v>0</v>
      </c>
      <c r="M67" s="56">
        <f>Salaires!E57</f>
        <v>0</v>
      </c>
      <c r="N67" s="56">
        <f>M67*((IF($A67&gt;=2019,1-$F67,1))*(LOOKUP($A67,Barèmes!$A$65:$A$148,Barèmes!$AG$65:$AG$148)*LOOKUP($A67,Barèmes!$A$65:$A$148,Barèmes!$AI$65:$AI$148)+LOOKUP($A67,Barèmes!$A$65:$A$148,Barèmes!$AW$65:$AW$148)+IF($C67&gt;=LOOKUP($A67,Barèmes!$A$65:$A$148,Barèmes!$V$65:$V$148),LOOKUP($A67,Barèmes!$A$65:$A$148,Barèmes!$AM$65:$AM$148),0)))+M67*(LOOKUP($A67,Barèmes!$A$65:$A$148,Barèmes!$AH$65:$AH$148)*LOOKUP($A67,Barèmes!$A$65:$A$148,Barèmes!$AI$65:$AI$148)+LOOKUP($A67,Barèmes!$A$65:$A$148,Barèmes!$AX$65:$AX$148)+IF($C67&gt;=LOOKUP($A67,Barèmes!$A$65:$A$148,Barèmes!$V$65:$V$148),LOOKUP($A67,Barèmes!$A$65:$A$148,Barèmes!$AN$65:$AN$148),0))</f>
        <v>0</v>
      </c>
      <c r="O67" s="56">
        <f>IF(AND($B67&gt;=Simulation!$D$5,$B67&lt;Simulation!$D$6,$N67=0,Simulation!$D$14="Chômage",Simulation!$D$17="Oui"),IF(M66&gt;0,M66*0.03,O66),0)</f>
        <v>0</v>
      </c>
      <c r="Q67" s="91">
        <f t="shared" si="0"/>
        <v>0</v>
      </c>
      <c r="R67" s="56"/>
      <c r="S67" s="56">
        <f>G67*LOOKUP($A67,Barèmes!$A$65:$A$148,Barèmes!$AC$65:$AC$148)</f>
        <v>0</v>
      </c>
      <c r="T67" s="56">
        <f>IF(AND($D67=0,Simulation!$D$14="Chômage",Simulation!$D$17="Oui",$B67&gt;=Simulation!$D$5,$B67&lt;Simulation!$D$6),IF($T66&lt;&gt;0,$T66,0),S67/LOOKUP($A67,Barèmes!$AB$65:$AB$148,Barèmes!$BA$65:$BA$148))</f>
        <v>0</v>
      </c>
      <c r="U67" s="181">
        <f>K67*LOOKUP($A67,Barèmes!$A$65:$A$148,Barèmes!$AF$65:$AF$148)</f>
        <v>0</v>
      </c>
      <c r="V67" s="56">
        <f>IF(AND($D67=0,Simulation!$D$14="Chômage",Simulation!$D$17="Oui",$B67&gt;=Simulation!$D$5,$B67&lt;Simulation!$D$6),IF($V66&lt;&gt;0,$V66,0),U67/LOOKUP($A67,Barèmes!$AB$65:$AB$148,Barèmes!$BA$65:$BA$148))</f>
        <v>0</v>
      </c>
      <c r="X67" s="80">
        <f>IF($B67=Simulation!$D$6,1,X68*(1+LOOKUP($A67,Barèmes!$A$65:$A$148,Barèmes!$T$65:$T$148)))</f>
        <v>0</v>
      </c>
      <c r="Y67" s="358">
        <f t="shared" si="1"/>
        <v>0</v>
      </c>
      <c r="Z67" s="43" t="str">
        <f t="shared" si="2"/>
        <v/>
      </c>
      <c r="AA67" s="56">
        <f>IF(AND($B67&gt;=Simulation!$D$5,$B67&lt;Simulation!$D$6),IF(AND(Simulation!$D$14="Enfants",Simulation!$D$10&gt;0,Simulation!$D$21="Oui",Info_cas_type!$H55=0),4,0),0)</f>
        <v>0</v>
      </c>
      <c r="AB67" s="56">
        <f>IF(AND(Simulation!$D$14="Chômage",Simulation!$D$18="Oui",$B67&gt;=Simulation!$D$5,$B67&lt;Simulation!$D$6,$C67=0),4,0)</f>
        <v>0</v>
      </c>
      <c r="AC67" s="81">
        <f>MIN(4,MIN($C67,LOOKUP($A67,Barèmes!$A$65:$A$148,Barèmes!$V$65:$V$148))/LOOKUP($A67,Barèmes!$A$65:$A$148,Barèmes!$S$65:$S$148))</f>
        <v>0</v>
      </c>
    </row>
    <row r="68" spans="1:29" x14ac:dyDescent="0.25">
      <c r="A68" s="15">
        <f>B68+Simulation!$D$4</f>
        <v>2068</v>
      </c>
      <c r="B68" s="273">
        <v>68</v>
      </c>
      <c r="C68" s="352"/>
      <c r="D68" s="56"/>
      <c r="E68" s="56"/>
      <c r="R68" s="56"/>
    </row>
    <row r="69" spans="1:29" x14ac:dyDescent="0.25">
      <c r="Y69" s="2"/>
    </row>
    <row r="71" spans="1:29" x14ac:dyDescent="0.25">
      <c r="Y71" s="2"/>
    </row>
  </sheetData>
  <mergeCells count="10">
    <mergeCell ref="A13:C13"/>
    <mergeCell ref="S13:V13"/>
    <mergeCell ref="X13:AC13"/>
    <mergeCell ref="F13:Q13"/>
    <mergeCell ref="Q15:Q16"/>
    <mergeCell ref="S15:T15"/>
    <mergeCell ref="U15:V15"/>
    <mergeCell ref="G15:J15"/>
    <mergeCell ref="F15:F16"/>
    <mergeCell ref="K15:O15"/>
  </mergeCells>
  <pageMargins left="0.7" right="0.7" top="0.75" bottom="0.75" header="0.3" footer="0.3"/>
  <pageSetup paperSize="9" orientation="portrait" r:id="rId1"/>
  <ignoredErrors>
    <ignoredError sqref="U17:U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X47"/>
  <sheetViews>
    <sheetView showGridLines="0" workbookViewId="0">
      <selection activeCell="I16" sqref="I16"/>
    </sheetView>
  </sheetViews>
  <sheetFormatPr baseColWidth="10" defaultRowHeight="15" x14ac:dyDescent="0.25"/>
  <cols>
    <col min="3" max="3" width="14.5703125" customWidth="1"/>
    <col min="4" max="4" width="12.85546875" style="14" bestFit="1" customWidth="1"/>
    <col min="5" max="5" width="17.85546875" style="14" customWidth="1"/>
    <col min="6" max="6" width="20.5703125" style="184" bestFit="1" customWidth="1"/>
    <col min="7" max="7" width="20.5703125" style="184" customWidth="1"/>
    <col min="8" max="8" width="11.42578125" style="185"/>
    <col min="9" max="9" width="12.85546875" style="184" bestFit="1" customWidth="1"/>
    <col min="10" max="10" width="11.42578125" style="185"/>
    <col min="11" max="11" width="11.85546875" style="185" bestFit="1" customWidth="1"/>
    <col min="12" max="13" width="11.85546875" style="185" customWidth="1"/>
    <col min="14" max="15" width="11.42578125" style="190"/>
    <col min="16" max="18" width="11.42578125" style="185"/>
    <col min="19" max="20" width="11.42578125" style="279"/>
    <col min="21" max="21" width="15.28515625" style="204" customWidth="1"/>
  </cols>
  <sheetData>
    <row r="1" spans="1:24" ht="18.75" x14ac:dyDescent="0.3">
      <c r="A1" s="8" t="s">
        <v>94</v>
      </c>
      <c r="B1" s="8"/>
      <c r="C1" s="8"/>
    </row>
    <row r="2" spans="1:24" ht="18.75" x14ac:dyDescent="0.3">
      <c r="A2" s="8"/>
      <c r="B2" s="8"/>
      <c r="C2" s="8"/>
    </row>
    <row r="3" spans="1:24" s="8" customFormat="1" ht="25.5" customHeight="1" thickBot="1" x14ac:dyDescent="0.35">
      <c r="A3" s="761" t="s">
        <v>173</v>
      </c>
      <c r="B3" s="761"/>
      <c r="C3" s="761"/>
      <c r="D3" s="20"/>
      <c r="E3" s="761" t="s">
        <v>16</v>
      </c>
      <c r="F3" s="761"/>
      <c r="G3" s="761"/>
      <c r="H3" s="186"/>
      <c r="I3" s="226" t="s">
        <v>15</v>
      </c>
      <c r="J3" s="186"/>
      <c r="K3" s="772" t="s">
        <v>96</v>
      </c>
      <c r="L3" s="772"/>
      <c r="M3" s="772"/>
      <c r="N3" s="772"/>
      <c r="O3" s="772"/>
      <c r="P3" s="772"/>
      <c r="Q3" s="772"/>
      <c r="R3" s="772"/>
      <c r="S3" s="772"/>
      <c r="T3" s="772"/>
      <c r="U3" s="772"/>
    </row>
    <row r="4" spans="1:24" ht="18.75" x14ac:dyDescent="0.3">
      <c r="D4" s="20"/>
      <c r="E4" s="20"/>
    </row>
    <row r="5" spans="1:24" s="178" customFormat="1" ht="45" x14ac:dyDescent="0.25">
      <c r="A5" s="193" t="s">
        <v>10</v>
      </c>
      <c r="B5" s="194" t="s">
        <v>12</v>
      </c>
      <c r="C5" s="195" t="s">
        <v>98</v>
      </c>
      <c r="D5" s="196"/>
      <c r="E5" s="193" t="s">
        <v>126</v>
      </c>
      <c r="F5" s="198" t="s">
        <v>158</v>
      </c>
      <c r="G5" s="199" t="s">
        <v>159</v>
      </c>
      <c r="H5" s="200"/>
      <c r="I5" s="201" t="s">
        <v>97</v>
      </c>
      <c r="J5" s="200"/>
      <c r="K5" s="201" t="s">
        <v>160</v>
      </c>
      <c r="L5" s="202" t="s">
        <v>162</v>
      </c>
      <c r="M5" s="202" t="s">
        <v>163</v>
      </c>
      <c r="N5" s="203" t="s">
        <v>161</v>
      </c>
      <c r="O5" s="201" t="s">
        <v>234</v>
      </c>
      <c r="P5" s="202" t="s">
        <v>137</v>
      </c>
      <c r="Q5" s="202" t="s">
        <v>138</v>
      </c>
      <c r="R5" s="275" t="s">
        <v>180</v>
      </c>
      <c r="S5" s="278" t="s">
        <v>178</v>
      </c>
      <c r="T5" s="278" t="s">
        <v>179</v>
      </c>
      <c r="U5" s="201" t="s">
        <v>177</v>
      </c>
    </row>
    <row r="6" spans="1:24" s="256" customFormat="1" ht="18.75" x14ac:dyDescent="0.25">
      <c r="A6" s="15">
        <f>B6+Simulation!$D$4</f>
        <v>2059</v>
      </c>
      <c r="B6" s="19">
        <v>59</v>
      </c>
      <c r="C6" s="95">
        <v>1</v>
      </c>
      <c r="D6" s="196"/>
      <c r="E6" s="255">
        <f ca="1">IF(AND(Cot_droits!$J$6&lt;1,$B6&gt;=Simulation!$D$6,$B6&lt;Simulation!$D$6+3,$B6&lt;Simulation!$D$27),Cot_droits!$J$6,IF(AND(Cot_droits!$J$6&gt;1,$B6=Simulation!$D$6),Cot_droits!$J$6,1))</f>
        <v>1</v>
      </c>
      <c r="F6" s="268"/>
      <c r="G6" s="269"/>
      <c r="H6" s="200"/>
      <c r="I6" s="270"/>
      <c r="J6" s="200"/>
      <c r="K6" s="270"/>
      <c r="L6" s="271"/>
      <c r="M6" s="271"/>
      <c r="N6" s="272"/>
      <c r="O6" s="270"/>
      <c r="P6" s="271"/>
      <c r="Q6" s="271"/>
      <c r="R6" s="276"/>
      <c r="S6" s="271"/>
      <c r="T6" s="271"/>
      <c r="U6" s="270"/>
    </row>
    <row r="7" spans="1:24" ht="18.75" x14ac:dyDescent="0.3">
      <c r="A7" s="15">
        <f>B7+Simulation!$D$4</f>
        <v>2060</v>
      </c>
      <c r="B7" s="19">
        <v>60</v>
      </c>
      <c r="C7" s="95">
        <v>1</v>
      </c>
      <c r="D7" s="20"/>
      <c r="E7" s="255">
        <f ca="1">IF(AND(Cot_droits!$J$6&lt;1,$B7&gt;=Simulation!$D$6,$B7&lt;Simulation!$D$6+3,$B7&lt;Simulation!$D$27),Cot_droits!$J$6,IF(AND(Cot_droits!$J$6&gt;1,$B7=Simulation!$D$6),Cot_droits!$J$6,1))</f>
        <v>1</v>
      </c>
      <c r="F7" s="187">
        <f>IF($B7=Simulation!$D$6,Cot_droits!$J$11,IF($B7&gt;Simulation!$D$6,Retraite!$F5*(LOOKUP($A7,Barèmes!$AB$65:$AB$148,Barèmes!$BG$65:$BG$148)/LOOKUP($A7-1,Barèmes!$AB$65:$AB$148,Barèmes!$BG$65:$BG$148)),0))</f>
        <v>0</v>
      </c>
      <c r="G7" s="188">
        <f ca="1">F7*E7</f>
        <v>0</v>
      </c>
      <c r="H7" s="187"/>
      <c r="I7" s="187">
        <f>IF($B7=Simulation!$D$6,Cot_droits!$M$11,IF($B7&gt;Simulation!$D$6,Retraite!$I5*(1+LOOKUP($A7,Barèmes!$AB$65:$AB$148,Barèmes!$U$65:$U$148)),0))</f>
        <v>0</v>
      </c>
      <c r="K7" s="182">
        <f t="shared" ref="K7:K9" ca="1" si="0">G7+I7</f>
        <v>0</v>
      </c>
      <c r="L7" s="189">
        <f>I7</f>
        <v>0</v>
      </c>
      <c r="M7" s="189">
        <f ca="1">G7</f>
        <v>0</v>
      </c>
      <c r="N7" s="191">
        <f ca="1">P7+Q7</f>
        <v>0</v>
      </c>
      <c r="O7" s="327">
        <f ca="1">N7+IF(OR(S7=9.1%,S7=7.4%),K7*LOOKUP($A7,Barèmes!$CG$65:$CG$148,Barèmes!$CE$65:$CE$148),0)</f>
        <v>0</v>
      </c>
      <c r="P7" s="183">
        <f>L7*(1-S7)</f>
        <v>0</v>
      </c>
      <c r="Q7" s="183">
        <f ca="1">M7*(1-T7)</f>
        <v>0</v>
      </c>
      <c r="R7" s="277">
        <f>0.9*(O6+LOOKUP(A6,Salaires!$A$7:$A$58,Salaires!$I$7:$I$58))</f>
        <v>79712.574709770706</v>
      </c>
      <c r="S7" s="280">
        <f>IF($C7=1,IF(R7&lt;LOOKUP($A7,Barèmes!$AB$65:$AB$148,Barèmes!$BM$65:$BM$148),LOOKUP($A7,Barèmes!$AB$65:$AB$148,Barèmes!$BQ$65:$BQ$148),IF(R7&lt;LOOKUP($A7,Barèmes!$AB$65:$AB$148,Barèmes!$BN$65:$BN$148),LOOKUP($A7,Barèmes!$AB$65:$AB$148,Barèmes!$BR$65:$BR$148),IF(R7&lt;LOOKUP($A7,Barèmes!$AB$65:$AB$148,Barèmes!$BO$65:$BO$148),LOOKUP($A7,Barèmes!$AB$65:$AB$148,Barèmes!$BS$65:$BS$148),LOOKUP($A7,Barèmes!$AB$65:$AB$148,Barèmes!$BT$65:$BT$148)))),IF($C7=2,IF(R7&lt;LOOKUP($A7,Barèmes!$AB$65:$AB$148,Barèmes!$BW$65:$BW$148),LOOKUP($A7,Barèmes!$AB$65:$AB$148,Barèmes!$CA$65:$CA$148),IF(R7&lt;LOOKUP($A7,Barèmes!$AB$65:$AB$148,Barèmes!$BX$65:$BX$148),LOOKUP($A7,Barèmes!$AB$65:$AB$148,Barèmes!$CB$65:$CB$148),IF(R7&lt;LOOKUP($A7,Barèmes!$AB$65:$AB$148,Barèmes!$BY$65:$BY$148),LOOKUP($A7,Barèmes!$AB$65:$AB$148,Barèmes!$CC$65:$CC148),LOOKUP($A7,Barèmes!$AB$65:$AB$148,Barèmes!$CD$65:$CD$148))))))</f>
        <v>9.0999999999999998E-2</v>
      </c>
      <c r="T7" s="280">
        <f>S7+1%</f>
        <v>0.10099999999999999</v>
      </c>
      <c r="U7" s="274" t="str">
        <f t="shared" ref="U7:U9" ca="1" si="1">IF(K7&gt;0,(K7-N7)/K7,"")</f>
        <v/>
      </c>
    </row>
    <row r="8" spans="1:24" ht="18.75" x14ac:dyDescent="0.3">
      <c r="A8" s="15">
        <f>B8+Simulation!$D$4</f>
        <v>2061</v>
      </c>
      <c r="B8" s="19">
        <v>61</v>
      </c>
      <c r="C8" s="95">
        <v>1</v>
      </c>
      <c r="D8" s="20"/>
      <c r="E8" s="255">
        <f ca="1">IF(AND(Cot_droits!$J$6&lt;1,$B8&gt;=Simulation!$D$6,$B8&lt;Simulation!$D$6+3,$B8&lt;Simulation!$D$27),Cot_droits!$J$6,IF(AND(Cot_droits!$J$6&gt;1,$B8=Simulation!$D$6),Cot_droits!$J$6,1))</f>
        <v>1</v>
      </c>
      <c r="F8" s="187">
        <f>IF($B8=Simulation!$D$6,Cot_droits!$J$11,IF($B8&gt;Simulation!$D$6,Retraite!$F7*(LOOKUP($A8,Barèmes!$AB$65:$AB$148,Barèmes!$BG$65:$BG$148)/LOOKUP($A8-1,Barèmes!$AB$65:$AB$148,Barèmes!$BG$65:$BG$148)),0))</f>
        <v>0</v>
      </c>
      <c r="G8" s="188">
        <f t="shared" ref="G8:G47" ca="1" si="2">F8*E8</f>
        <v>0</v>
      </c>
      <c r="I8" s="187">
        <f>IF($B8=Simulation!$D$6,Cot_droits!$M$11,IF($B8&gt;Simulation!$D$6,Retraite!$I7*(1+LOOKUP($A8,Barèmes!$AB$65:$AB$148,Barèmes!$U$65:$U$148)),0))</f>
        <v>0</v>
      </c>
      <c r="K8" s="182">
        <f t="shared" ca="1" si="0"/>
        <v>0</v>
      </c>
      <c r="L8" s="189">
        <f t="shared" ref="L8:L47" si="3">I8</f>
        <v>0</v>
      </c>
      <c r="M8" s="189">
        <f t="shared" ref="M8:M47" ca="1" si="4">G8</f>
        <v>0</v>
      </c>
      <c r="N8" s="191">
        <f t="shared" ref="N8:N47" ca="1" si="5">P8+Q8</f>
        <v>0</v>
      </c>
      <c r="O8" s="327">
        <f ca="1">N8+IF(OR(S8=9.1%,S8=7.4%),K8*LOOKUP($A8,Barèmes!$CG$65:$CG$148,Barèmes!$CE$65:$CE$148),0)</f>
        <v>0</v>
      </c>
      <c r="P8" s="183">
        <f t="shared" ref="P8:P47" ca="1" si="6">L8*(1-S8)</f>
        <v>0</v>
      </c>
      <c r="Q8" s="183">
        <f t="shared" ref="Q8:Q47" ca="1" si="7">M8*(1-T8)</f>
        <v>0</v>
      </c>
      <c r="R8" s="277">
        <f ca="1">0.9*(O7+LOOKUP(A7,Salaires!$A$7:$A$58,Salaires!$I$7:$I$58))</f>
        <v>82376.071117899875</v>
      </c>
      <c r="S8" s="280">
        <f ca="1">IF($C8=1,IF(R8&lt;LOOKUP($A8,Barèmes!$AB$65:$AB$148,Barèmes!$BM$65:$BM$148),LOOKUP($A8,Barèmes!$AB$65:$AB$148,Barèmes!$BQ$65:$BQ$148),IF(R8&lt;LOOKUP($A8,Barèmes!$AB$65:$AB$148,Barèmes!$BN$65:$BN$148),LOOKUP($A8,Barèmes!$AB$65:$AB$148,Barèmes!$BR$65:$BR$148),IF(R8&lt;LOOKUP($A8,Barèmes!$AB$65:$AB$148,Barèmes!$BO$65:$BO$148),LOOKUP($A8,Barèmes!$AB$65:$AB$148,Barèmes!$BS$65:$BS$148),LOOKUP($A8,Barèmes!$AB$65:$AB$148,Barèmes!$BT$65:$BT$148)))),IF($C8=2,IF(R8&lt;LOOKUP($A8,Barèmes!$AB$65:$AB$148,Barèmes!$BW$65:$BW$148),LOOKUP($A8,Barèmes!$AB$65:$AB$148,Barèmes!$CA$65:$CA$148),IF(R8&lt;LOOKUP($A8,Barèmes!$AB$65:$AB$148,Barèmes!$BX$65:$BX$148),LOOKUP($A8,Barèmes!$AB$65:$AB$148,Barèmes!$CB$65:$CB$148),IF(R8&lt;LOOKUP($A8,Barèmes!$AB$65:$AB$148,Barèmes!$BY$65:$BY$148),LOOKUP($A8,Barèmes!$AB$65:$AB$148,Barèmes!$CC$65:$CC149),LOOKUP($A8,Barèmes!$AB$65:$AB$148,Barèmes!$CD$65:$CD$148))))))</f>
        <v>9.0999999999999998E-2</v>
      </c>
      <c r="T8" s="280">
        <f t="shared" ref="T8:T47" ca="1" si="8">S8+1%</f>
        <v>0.10099999999999999</v>
      </c>
      <c r="U8" s="274" t="str">
        <f t="shared" ca="1" si="1"/>
        <v/>
      </c>
    </row>
    <row r="9" spans="1:24" ht="18.75" x14ac:dyDescent="0.3">
      <c r="A9" s="15">
        <f>B9+Simulation!$D$4</f>
        <v>2062</v>
      </c>
      <c r="B9" s="19">
        <v>62</v>
      </c>
      <c r="C9" s="95">
        <v>1</v>
      </c>
      <c r="D9" s="20"/>
      <c r="E9" s="255">
        <f ca="1">IF(AND(Cot_droits!$J$6&lt;1,$B9&gt;=Simulation!$D$6,$B9&lt;Simulation!$D$6+3,$B9&lt;Simulation!$D$27),Cot_droits!$J$6,IF(AND(Cot_droits!$J$6&gt;1,$B9=Simulation!$D$6),Cot_droits!$J$6,1))</f>
        <v>1</v>
      </c>
      <c r="F9" s="187">
        <f>IF($B9=Simulation!$D$6,Cot_droits!$J$11,IF($B9&gt;Simulation!$D$6,Retraite!$F8*(LOOKUP($A9,Barèmes!$AB$65:$AB$148,Barèmes!$BG$65:$BG$148)/LOOKUP($A9-1,Barèmes!$AB$65:$AB$148,Barèmes!$BG$65:$BG$148)),0))</f>
        <v>0</v>
      </c>
      <c r="G9" s="188">
        <f t="shared" ca="1" si="2"/>
        <v>0</v>
      </c>
      <c r="I9" s="187">
        <f>IF($B9=Simulation!$D$6,Cot_droits!$M$11,IF($B9&gt;Simulation!$D$6,Retraite!$I8*(1+LOOKUP($A9,Barèmes!$AB$65:$AB$148,Barèmes!$U$65:$U$148)),0))</f>
        <v>0</v>
      </c>
      <c r="K9" s="182">
        <f t="shared" ca="1" si="0"/>
        <v>0</v>
      </c>
      <c r="L9" s="189">
        <f t="shared" si="3"/>
        <v>0</v>
      </c>
      <c r="M9" s="189">
        <f t="shared" ca="1" si="4"/>
        <v>0</v>
      </c>
      <c r="N9" s="191">
        <f t="shared" ca="1" si="5"/>
        <v>0</v>
      </c>
      <c r="O9" s="327">
        <f ca="1">N9+IF(OR(S9=9.1%,S9=7.4%),K9*LOOKUP($A9,Barèmes!$CG$65:$CG$148,Barèmes!$CE$65:$CE$148),0)</f>
        <v>0</v>
      </c>
      <c r="P9" s="183">
        <f t="shared" ca="1" si="6"/>
        <v>0</v>
      </c>
      <c r="Q9" s="183">
        <f t="shared" ca="1" si="7"/>
        <v>0</v>
      </c>
      <c r="R9" s="277">
        <f ca="1">0.9*(O8+LOOKUP(A8,Salaires!$A$7:$A$58,Salaires!$I$7:$I$58))</f>
        <v>84907.281843175137</v>
      </c>
      <c r="S9" s="280">
        <f ca="1">IF($C9=1,IF(R9&lt;LOOKUP($A9,Barèmes!$AB$65:$AB$148,Barèmes!$BM$65:$BM$148),LOOKUP($A9,Barèmes!$AB$65:$AB$148,Barèmes!$BQ$65:$BQ$148),IF(R9&lt;LOOKUP($A9,Barèmes!$AB$65:$AB$148,Barèmes!$BN$65:$BN$148),LOOKUP($A9,Barèmes!$AB$65:$AB$148,Barèmes!$BR$65:$BR$148),IF(R9&lt;LOOKUP($A9,Barèmes!$AB$65:$AB$148,Barèmes!$BO$65:$BO$148),LOOKUP($A9,Barèmes!$AB$65:$AB$148,Barèmes!$BS$65:$BS$148),LOOKUP($A9,Barèmes!$AB$65:$AB$148,Barèmes!$BT$65:$BT$148)))),IF($C9=2,IF(R9&lt;LOOKUP($A9,Barèmes!$AB$65:$AB$148,Barèmes!$BW$65:$BW$148),LOOKUP($A9,Barèmes!$AB$65:$AB$148,Barèmes!$CA$65:$CA$148),IF(R9&lt;LOOKUP($A9,Barèmes!$AB$65:$AB$148,Barèmes!$BX$65:$BX$148),LOOKUP($A9,Barèmes!$AB$65:$AB$148,Barèmes!$CB$65:$CB$148),IF(R9&lt;LOOKUP($A9,Barèmes!$AB$65:$AB$148,Barèmes!$BY$65:$BY$148),LOOKUP($A9,Barèmes!$AB$65:$AB$148,Barèmes!$CC$65:$CC150),LOOKUP($A9,Barèmes!$AB$65:$AB$148,Barèmes!$CD$65:$CD$148))))))</f>
        <v>9.0999999999999998E-2</v>
      </c>
      <c r="T9" s="280">
        <f t="shared" ca="1" si="8"/>
        <v>0.10099999999999999</v>
      </c>
      <c r="U9" s="274" t="str">
        <f t="shared" ca="1" si="1"/>
        <v/>
      </c>
    </row>
    <row r="10" spans="1:24" ht="18.75" x14ac:dyDescent="0.3">
      <c r="A10" s="15">
        <f>B10+Simulation!$D$4</f>
        <v>2063</v>
      </c>
      <c r="B10" s="19">
        <v>63</v>
      </c>
      <c r="C10" s="95">
        <v>1</v>
      </c>
      <c r="D10" s="20"/>
      <c r="E10" s="255">
        <f ca="1">IF(AND(Cot_droits!$J$6&lt;1,$B10&gt;=Simulation!$D$6,$B10&lt;Simulation!$D$6+3,$B10&lt;Simulation!$D$27),Cot_droits!$J$6,IF(AND(Cot_droits!$J$6&gt;1,$B10=Simulation!$D$6),Cot_droits!$J$6,1))</f>
        <v>1</v>
      </c>
      <c r="F10" s="187">
        <f>IF($B10=Simulation!$D$6,Cot_droits!$J$11,IF($B10&gt;Simulation!$D$6,Retraite!$F9*(LOOKUP($A10,Barèmes!$AB$65:$AB$148,Barèmes!$BG$65:$BG$148)/LOOKUP($A10-1,Barèmes!$AB$65:$AB$148,Barèmes!$BG$65:$BG$148)),0))</f>
        <v>0</v>
      </c>
      <c r="G10" s="188">
        <f t="shared" ca="1" si="2"/>
        <v>0</v>
      </c>
      <c r="I10" s="187">
        <f>IF($B10=Simulation!$D$6,Cot_droits!$M$11,IF($B10&gt;Simulation!$D$6,Retraite!$I9*(1+LOOKUP($A10,Barèmes!$AB$65:$AB$148,Barèmes!$U$65:$U$148)),0))</f>
        <v>0</v>
      </c>
      <c r="J10" s="308"/>
      <c r="K10" s="182">
        <f ca="1">G10+I10</f>
        <v>0</v>
      </c>
      <c r="L10" s="189">
        <f t="shared" si="3"/>
        <v>0</v>
      </c>
      <c r="M10" s="189">
        <f t="shared" ca="1" si="4"/>
        <v>0</v>
      </c>
      <c r="N10" s="191">
        <f t="shared" ca="1" si="5"/>
        <v>0</v>
      </c>
      <c r="O10" s="327">
        <f ca="1">N10+IF(OR(S10=9.1%,S10=7.4%),K10*LOOKUP($A10,Barèmes!$CG$65:$CG$148,Barèmes!$CE$65:$CE$148),0)</f>
        <v>0</v>
      </c>
      <c r="P10" s="183">
        <f t="shared" ca="1" si="6"/>
        <v>0</v>
      </c>
      <c r="Q10" s="183">
        <f t="shared" ca="1" si="7"/>
        <v>0</v>
      </c>
      <c r="R10" s="277">
        <f ca="1">0.9*(O9+LOOKUP(A9,Salaires!$A$7:$A$58,Salaires!$I$7:$I$58))</f>
        <v>87516.270346011297</v>
      </c>
      <c r="S10" s="280">
        <f ca="1">IF($C10=1,IF(R10&lt;LOOKUP($A10,Barèmes!$AB$65:$AB$148,Barèmes!$BM$65:$BM$148),LOOKUP($A10,Barèmes!$AB$65:$AB$148,Barèmes!$BQ$65:$BQ$148),IF(R10&lt;LOOKUP($A10,Barèmes!$AB$65:$AB$148,Barèmes!$BN$65:$BN$148),LOOKUP($A10,Barèmes!$AB$65:$AB$148,Barèmes!$BR$65:$BR$148),IF(R10&lt;LOOKUP($A10,Barèmes!$AB$65:$AB$148,Barèmes!$BO$65:$BO$148),LOOKUP($A10,Barèmes!$AB$65:$AB$148,Barèmes!$BS$65:$BS$148),LOOKUP($A10,Barèmes!$AB$65:$AB$148,Barèmes!$BT$65:$BT$148)))),IF($C10=2,IF(R10&lt;LOOKUP($A10,Barèmes!$AB$65:$AB$148,Barèmes!$BW$65:$BW$148),LOOKUP($A10,Barèmes!$AB$65:$AB$148,Barèmes!$CA$65:$CA$148),IF(R10&lt;LOOKUP($A10,Barèmes!$AB$65:$AB$148,Barèmes!$BX$65:$BX$148),LOOKUP($A10,Barèmes!$AB$65:$AB$148,Barèmes!$CB$65:$CB$148),IF(R10&lt;LOOKUP($A10,Barèmes!$AB$65:$AB$148,Barèmes!$BY$65:$BY$148),LOOKUP($A10,Barèmes!$AB$65:$AB$148,Barèmes!$CC$65:$CC151),LOOKUP($A10,Barèmes!$AB$65:$AB$148,Barèmes!$CD$65:$CD$148))))))</f>
        <v>9.0999999999999998E-2</v>
      </c>
      <c r="T10" s="280">
        <f t="shared" ca="1" si="8"/>
        <v>0.10099999999999999</v>
      </c>
      <c r="U10" s="274" t="str">
        <f t="shared" ref="U10:U47" ca="1" si="9">IF(K10&gt;0,(K10-N10)/K10,"")</f>
        <v/>
      </c>
    </row>
    <row r="11" spans="1:24" ht="18.75" x14ac:dyDescent="0.3">
      <c r="A11" s="15">
        <f>B11+Simulation!$D$4</f>
        <v>2064</v>
      </c>
      <c r="B11" s="19">
        <v>64</v>
      </c>
      <c r="C11" s="95">
        <v>1</v>
      </c>
      <c r="D11" s="20"/>
      <c r="E11" s="255">
        <f ca="1">IF(AND(Cot_droits!$J$6&lt;1,$B11&gt;=Simulation!$D$6,$B11&lt;Simulation!$D$6+3,$B11&lt;Simulation!$D$27),Cot_droits!$J$6,IF(AND(Cot_droits!$J$6&gt;1,$B11=Simulation!$D$6),Cot_droits!$J$6,1))</f>
        <v>0.9</v>
      </c>
      <c r="F11" s="187">
        <f>IF($B11=Simulation!$D$6,Cot_droits!$J$11,IF($B11&gt;Simulation!$D$6,Retraite!$F10*(LOOKUP($A11,Barèmes!$AB$65:$AB$148,Barèmes!$BG$65:$BG$148)/LOOKUP($A11-1,Barèmes!$AB$65:$AB$148,Barèmes!$BG$65:$BG$148)),0))</f>
        <v>15910.063273163702</v>
      </c>
      <c r="G11" s="188">
        <f t="shared" ca="1" si="2"/>
        <v>14319.056945847331</v>
      </c>
      <c r="I11" s="187">
        <f>IF($B11=Simulation!$D$6,Cot_droits!$M$11,IF($B11&gt;Simulation!$D$6,Retraite!$I10*(1+LOOKUP($A11,Barèmes!$AB$65:$AB$148,Barèmes!$U$65:$U$148)),0))</f>
        <v>54102.517136146555</v>
      </c>
      <c r="K11" s="182">
        <f t="shared" ref="K11:K47" ca="1" si="10">G11+I11</f>
        <v>68421.57408199388</v>
      </c>
      <c r="L11" s="189">
        <f t="shared" si="3"/>
        <v>54102.517136146555</v>
      </c>
      <c r="M11" s="189">
        <f t="shared" ca="1" si="4"/>
        <v>14319.056945847331</v>
      </c>
      <c r="N11" s="191">
        <f t="shared" ca="1" si="5"/>
        <v>62052.020271073969</v>
      </c>
      <c r="O11" s="327">
        <f ca="1">N11+IF(OR(S11=9.1%,S11=7.4%),K11*LOOKUP($A11,Barèmes!$CG$65:$CG$148,Barèmes!$CE$65:$CE$148),0)</f>
        <v>64241.510641697772</v>
      </c>
      <c r="P11" s="183">
        <f t="shared" ca="1" si="6"/>
        <v>49179.188076757222</v>
      </c>
      <c r="Q11" s="183">
        <f t="shared" ca="1" si="7"/>
        <v>12872.83219431675</v>
      </c>
      <c r="R11" s="277">
        <f ca="1">0.9*(O10+LOOKUP(A10,Salaires!$A$7:$A$58,Salaires!$I$7:$I$58))</f>
        <v>90205.426543068344</v>
      </c>
      <c r="S11" s="280">
        <f ca="1">IF($C11=1,IF(R11&lt;LOOKUP($A11,Barèmes!$AB$65:$AB$148,Barèmes!$BM$65:$BM$148),LOOKUP($A11,Barèmes!$AB$65:$AB$148,Barèmes!$BQ$65:$BQ$148),IF(R11&lt;LOOKUP($A11,Barèmes!$AB$65:$AB$148,Barèmes!$BN$65:$BN$148),LOOKUP($A11,Barèmes!$AB$65:$AB$148,Barèmes!$BR$65:$BR$148),IF(R11&lt;LOOKUP($A11,Barèmes!$AB$65:$AB$148,Barèmes!$BO$65:$BO$148),LOOKUP($A11,Barèmes!$AB$65:$AB$148,Barèmes!$BS$65:$BS$148),LOOKUP($A11,Barèmes!$AB$65:$AB$148,Barèmes!$BT$65:$BT$148)))),IF($C11=2,IF(R11&lt;LOOKUP($A11,Barèmes!$AB$65:$AB$148,Barèmes!$BW$65:$BW$148),LOOKUP($A11,Barèmes!$AB$65:$AB$148,Barèmes!$CA$65:$CA$148),IF(R11&lt;LOOKUP($A11,Barèmes!$AB$65:$AB$148,Barèmes!$BX$65:$BX$148),LOOKUP($A11,Barèmes!$AB$65:$AB$148,Barèmes!$CB$65:$CB$148),IF(R11&lt;LOOKUP($A11,Barèmes!$AB$65:$AB$148,Barèmes!$BY$65:$BY$148),LOOKUP($A11,Barèmes!$AB$65:$AB$148,Barèmes!$CC$65:$CC152),LOOKUP($A11,Barèmes!$AB$65:$AB$148,Barèmes!$CD$65:$CD$148))))))</f>
        <v>9.0999999999999998E-2</v>
      </c>
      <c r="T11" s="280">
        <f t="shared" ca="1" si="8"/>
        <v>0.10099999999999999</v>
      </c>
      <c r="U11" s="274">
        <f t="shared" ca="1" si="9"/>
        <v>9.3092769296521508E-2</v>
      </c>
    </row>
    <row r="12" spans="1:24" ht="18.75" x14ac:dyDescent="0.3">
      <c r="A12" s="15">
        <f>B12+Simulation!$D$4</f>
        <v>2065</v>
      </c>
      <c r="B12" s="19">
        <v>65</v>
      </c>
      <c r="C12" s="95">
        <v>1</v>
      </c>
      <c r="D12" s="20"/>
      <c r="E12" s="255">
        <f ca="1">IF(AND(Cot_droits!$J$6&lt;1,$B12&gt;=Simulation!$D$6,$B12&lt;Simulation!$D$6+3,$B12&lt;Simulation!$D$27),Cot_droits!$J$6,IF(AND(Cot_droits!$J$6&gt;1,$B12=Simulation!$D$6),Cot_droits!$J$6,1))</f>
        <v>0.9</v>
      </c>
      <c r="F12" s="187">
        <f>IF($B12=Simulation!$D$6,Cot_droits!$J$11,IF($B12&gt;Simulation!$D$6,Retraite!$F11*(LOOKUP($A12,Barèmes!$AB$65:$AB$148,Barèmes!$BG$65:$BG$148)/LOOKUP($A12-1,Barèmes!$AB$65:$AB$148,Barèmes!$BG$65:$BG$148)),0))</f>
        <v>16214.785700581291</v>
      </c>
      <c r="G12" s="188">
        <f t="shared" ca="1" si="2"/>
        <v>14593.307130523162</v>
      </c>
      <c r="I12" s="187">
        <f>IF($B12=Simulation!$D$6,Cot_droits!$M$11,IF($B12&gt;Simulation!$D$6,Retraite!$I11*(1+LOOKUP($A12,Barèmes!$AB$65:$AB$148,Barèmes!$U$65:$U$148)),0))</f>
        <v>55049.311186029125</v>
      </c>
      <c r="K12" s="182">
        <f t="shared" ca="1" si="10"/>
        <v>69642.618316552282</v>
      </c>
      <c r="L12" s="189">
        <f t="shared" si="3"/>
        <v>55049.311186029125</v>
      </c>
      <c r="M12" s="189">
        <f t="shared" ca="1" si="4"/>
        <v>14593.307130523162</v>
      </c>
      <c r="N12" s="191">
        <f t="shared" ca="1" si="5"/>
        <v>63159.206978440794</v>
      </c>
      <c r="O12" s="327">
        <f ca="1">N12+IF(OR(S12=9.1%,S12=7.4%),K12*LOOKUP($A12,Barèmes!$CG$65:$CG$148,Barèmes!$CE$65:$CE$148),0)</f>
        <v>65387.770764570465</v>
      </c>
      <c r="P12" s="183">
        <f t="shared" ca="1" si="6"/>
        <v>50039.823868100473</v>
      </c>
      <c r="Q12" s="183">
        <f t="shared" ca="1" si="7"/>
        <v>13119.383110340323</v>
      </c>
      <c r="R12" s="277">
        <f ca="1">0.9*(O11+LOOKUP(A11,Salaires!$A$7:$A$58,Salaires!$I$7:$I$58))</f>
        <v>57817.359577527997</v>
      </c>
      <c r="S12" s="280">
        <f ca="1">IF($C12=1,IF(R12&lt;LOOKUP($A12,Barèmes!$AB$65:$AB$148,Barèmes!$BM$65:$BM$148),LOOKUP($A12,Barèmes!$AB$65:$AB$148,Barèmes!$BQ$65:$BQ$148),IF(R12&lt;LOOKUP($A12,Barèmes!$AB$65:$AB$148,Barèmes!$BN$65:$BN$148),LOOKUP($A12,Barèmes!$AB$65:$AB$148,Barèmes!$BR$65:$BR$148),IF(R12&lt;LOOKUP($A12,Barèmes!$AB$65:$AB$148,Barèmes!$BO$65:$BO$148),LOOKUP($A12,Barèmes!$AB$65:$AB$148,Barèmes!$BS$65:$BS$148),LOOKUP($A12,Barèmes!$AB$65:$AB$148,Barèmes!$BT$65:$BT$148)))),IF($C12=2,IF(R12&lt;LOOKUP($A12,Barèmes!$AB$65:$AB$148,Barèmes!$BW$65:$BW$148),LOOKUP($A12,Barèmes!$AB$65:$AB$148,Barèmes!$CA$65:$CA$148),IF(R12&lt;LOOKUP($A12,Barèmes!$AB$65:$AB$148,Barèmes!$BX$65:$BX$148),LOOKUP($A12,Barèmes!$AB$65:$AB$148,Barèmes!$CB$65:$CB$148),IF(R12&lt;LOOKUP($A12,Barèmes!$AB$65:$AB$148,Barèmes!$BY$65:$BY$148),LOOKUP($A12,Barèmes!$AB$65:$AB$148,Barèmes!$CC$65:$CC153),LOOKUP($A12,Barèmes!$AB$65:$AB$148,Barèmes!$CD$65:$CD$148))))))</f>
        <v>9.0999999999999998E-2</v>
      </c>
      <c r="T12" s="280">
        <f t="shared" ca="1" si="8"/>
        <v>0.10099999999999999</v>
      </c>
      <c r="U12" s="274">
        <f t="shared" ca="1" si="9"/>
        <v>9.3095456414948513E-2</v>
      </c>
    </row>
    <row r="13" spans="1:24" ht="18.75" x14ac:dyDescent="0.3">
      <c r="A13" s="15">
        <f>B13+Simulation!$D$4</f>
        <v>2066</v>
      </c>
      <c r="B13" s="19">
        <v>66</v>
      </c>
      <c r="C13" s="95">
        <v>1</v>
      </c>
      <c r="D13" s="20"/>
      <c r="E13" s="255">
        <f ca="1">IF(AND(Cot_droits!$J$6&lt;1,$B13&gt;=Simulation!$D$6,$B13&lt;Simulation!$D$6+3,$B13&lt;Simulation!$D$27),Cot_droits!$J$6,IF(AND(Cot_droits!$J$6&gt;1,$B13=Simulation!$D$6),Cot_droits!$J$6,1))</f>
        <v>0.9</v>
      </c>
      <c r="F13" s="187">
        <f>IF($B13=Simulation!$D$6,Cot_droits!$J$11,IF($B13&gt;Simulation!$D$6,Retraite!$F12*(LOOKUP($A13,Barèmes!$AB$65:$AB$148,Barèmes!$BG$65:$BG$148)/LOOKUP($A13-1,Barèmes!$AB$65:$AB$148,Barèmes!$BG$65:$BG$148)),0))</f>
        <v>16525.302413557631</v>
      </c>
      <c r="G13" s="188">
        <f t="shared" ca="1" si="2"/>
        <v>14872.772172201869</v>
      </c>
      <c r="I13" s="187">
        <f>IF($B13=Simulation!$D$6,Cot_droits!$M$11,IF($B13&gt;Simulation!$D$6,Retraite!$I12*(1+LOOKUP($A13,Barèmes!$AB$65:$AB$148,Barèmes!$U$65:$U$148)),0))</f>
        <v>56012.674131784639</v>
      </c>
      <c r="K13" s="182">
        <f t="shared" ca="1" si="10"/>
        <v>70885.446303986508</v>
      </c>
      <c r="L13" s="189">
        <f t="shared" si="3"/>
        <v>56012.674131784639</v>
      </c>
      <c r="M13" s="189">
        <f t="shared" ca="1" si="4"/>
        <v>14872.772172201869</v>
      </c>
      <c r="N13" s="191">
        <f t="shared" ca="1" si="5"/>
        <v>64286.142968601715</v>
      </c>
      <c r="O13" s="327">
        <f ca="1">N13+IF(OR(S13=9.1%,S13=7.4%),K13*LOOKUP($A13,Barèmes!$CG$65:$CG$148,Barèmes!$CE$65:$CE$148),0)</f>
        <v>66554.477250329277</v>
      </c>
      <c r="P13" s="183">
        <f t="shared" ca="1" si="6"/>
        <v>50915.520785792236</v>
      </c>
      <c r="Q13" s="183">
        <f t="shared" ca="1" si="7"/>
        <v>13370.62218280948</v>
      </c>
      <c r="R13" s="277">
        <f ca="1">0.9*(O12+LOOKUP(A12,Salaires!$A$7:$A$58,Salaires!$I$7:$I$58))</f>
        <v>58848.99368811342</v>
      </c>
      <c r="S13" s="280">
        <f ca="1">IF($C13=1,IF(R13&lt;LOOKUP($A13,Barèmes!$AB$65:$AB$148,Barèmes!$BM$65:$BM$148),LOOKUP($A13,Barèmes!$AB$65:$AB$148,Barèmes!$BQ$65:$BQ$148),IF(R13&lt;LOOKUP($A13,Barèmes!$AB$65:$AB$148,Barèmes!$BN$65:$BN$148),LOOKUP($A13,Barèmes!$AB$65:$AB$148,Barèmes!$BR$65:$BR$148),IF(R13&lt;LOOKUP($A13,Barèmes!$AB$65:$AB$148,Barèmes!$BO$65:$BO$148),LOOKUP($A13,Barèmes!$AB$65:$AB$148,Barèmes!$BS$65:$BS$148),LOOKUP($A13,Barèmes!$AB$65:$AB$148,Barèmes!$BT$65:$BT$148)))),IF($C13=2,IF(R13&lt;LOOKUP($A13,Barèmes!$AB$65:$AB$148,Barèmes!$BW$65:$BW$148),LOOKUP($A13,Barèmes!$AB$65:$AB$148,Barèmes!$CA$65:$CA$148),IF(R13&lt;LOOKUP($A13,Barèmes!$AB$65:$AB$148,Barèmes!$BX$65:$BX$148),LOOKUP($A13,Barèmes!$AB$65:$AB$148,Barèmes!$CB$65:$CB$148),IF(R13&lt;LOOKUP($A13,Barèmes!$AB$65:$AB$148,Barèmes!$BY$65:$BY$148),LOOKUP($A13,Barèmes!$AB$65:$AB$148,Barèmes!$CC$65:$CC154),LOOKUP($A13,Barèmes!$AB$65:$AB$148,Barèmes!$CD$65:$CD$148))))))</f>
        <v>9.0999999999999998E-2</v>
      </c>
      <c r="T13" s="280">
        <f t="shared" ca="1" si="8"/>
        <v>0.10099999999999999</v>
      </c>
      <c r="U13" s="274">
        <f t="shared" ca="1" si="9"/>
        <v>9.3098141853889357E-2</v>
      </c>
    </row>
    <row r="14" spans="1:24" ht="18.75" x14ac:dyDescent="0.3">
      <c r="A14" s="15">
        <f>B14+Simulation!$D$4</f>
        <v>2067</v>
      </c>
      <c r="B14" s="19">
        <v>67</v>
      </c>
      <c r="C14" s="95">
        <v>1</v>
      </c>
      <c r="D14" s="20"/>
      <c r="E14" s="255">
        <f ca="1">IF(AND(Cot_droits!$J$6&lt;1,$B14&gt;=Simulation!$D$6,$B14&lt;Simulation!$D$6+3,$B14&lt;Simulation!$D$27),Cot_droits!$J$6,IF(AND(Cot_droits!$J$6&gt;1,$B14=Simulation!$D$6),Cot_droits!$J$6,1))</f>
        <v>1</v>
      </c>
      <c r="F14" s="187">
        <f>IF($B14=Simulation!$D$6,Cot_droits!$J$11,IF($B14&gt;Simulation!$D$6,Retraite!$F13*(LOOKUP($A14,Barèmes!$AB$65:$AB$148,Barèmes!$BG$65:$BG$148)/LOOKUP($A14-1,Barèmes!$AB$65:$AB$148,Barèmes!$BG$65:$BG$148)),0))</f>
        <v>16841.993365244118</v>
      </c>
      <c r="G14" s="188">
        <f t="shared" ca="1" si="2"/>
        <v>16841.993365244118</v>
      </c>
      <c r="I14" s="187">
        <f>IF($B14=Simulation!$D$6,Cot_droits!$M$11,IF($B14&gt;Simulation!$D$6,Retraite!$I13*(1+LOOKUP($A14,Barèmes!$AB$65:$AB$148,Barèmes!$U$65:$U$148)),0))</f>
        <v>56992.895929090875</v>
      </c>
      <c r="K14" s="182">
        <f t="shared" ca="1" si="10"/>
        <v>73834.889294334993</v>
      </c>
      <c r="L14" s="189">
        <f t="shared" si="3"/>
        <v>56992.895929090875</v>
      </c>
      <c r="M14" s="189">
        <f t="shared" ca="1" si="4"/>
        <v>16841.993365244118</v>
      </c>
      <c r="N14" s="191">
        <f t="shared" ca="1" si="5"/>
        <v>66947.494434898064</v>
      </c>
      <c r="O14" s="327">
        <f ca="1">N14+IF(OR(S14=9.1%,S14=7.4%),K14*LOOKUP($A14,Barèmes!$CG$65:$CG$148,Barèmes!$CE$65:$CE$148),0)</f>
        <v>69310.210892316783</v>
      </c>
      <c r="P14" s="183">
        <f t="shared" ca="1" si="6"/>
        <v>51806.542399543607</v>
      </c>
      <c r="Q14" s="183">
        <f t="shared" ca="1" si="7"/>
        <v>15140.952035354463</v>
      </c>
      <c r="R14" s="277">
        <f ca="1">0.9*(O13+LOOKUP(A13,Salaires!$A$7:$A$58,Salaires!$I$7:$I$58))</f>
        <v>59899.029525296348</v>
      </c>
      <c r="S14" s="280">
        <f ca="1">IF($C14=1,IF(R14&lt;LOOKUP($A14,Barèmes!$AB$65:$AB$148,Barèmes!$BM$65:$BM$148),LOOKUP($A14,Barèmes!$AB$65:$AB$148,Barèmes!$BQ$65:$BQ$148),IF(R14&lt;LOOKUP($A14,Barèmes!$AB$65:$AB$148,Barèmes!$BN$65:$BN$148),LOOKUP($A14,Barèmes!$AB$65:$AB$148,Barèmes!$BR$65:$BR$148),IF(R14&lt;LOOKUP($A14,Barèmes!$AB$65:$AB$148,Barèmes!$BO$65:$BO$148),LOOKUP($A14,Barèmes!$AB$65:$AB$148,Barèmes!$BS$65:$BS$148),LOOKUP($A14,Barèmes!$AB$65:$AB$148,Barèmes!$BT$65:$BT$148)))),IF($C14=2,IF(R14&lt;LOOKUP($A14,Barèmes!$AB$65:$AB$148,Barèmes!$BW$65:$BW$148),LOOKUP($A14,Barèmes!$AB$65:$AB$148,Barèmes!$CA$65:$CA$148),IF(R14&lt;LOOKUP($A14,Barèmes!$AB$65:$AB$148,Barèmes!$BX$65:$BX$148),LOOKUP($A14,Barèmes!$AB$65:$AB$148,Barèmes!$CB$65:$CB$148),IF(R14&lt;LOOKUP($A14,Barèmes!$AB$65:$AB$148,Barèmes!$BY$65:$BY$148),LOOKUP($A14,Barèmes!$AB$65:$AB$148,Barèmes!$CC$65:$CC155),LOOKUP($A14,Barèmes!$AB$65:$AB$148,Barèmes!$CD$65:$CD$148))))))</f>
        <v>9.0999999999999998E-2</v>
      </c>
      <c r="T14" s="280">
        <f t="shared" ca="1" si="8"/>
        <v>0.10099999999999999</v>
      </c>
      <c r="U14" s="274">
        <f t="shared" ca="1" si="9"/>
        <v>9.3281034552392381E-2</v>
      </c>
    </row>
    <row r="15" spans="1:24" ht="18.75" x14ac:dyDescent="0.3">
      <c r="A15" s="15">
        <f>B15+Simulation!$D$4</f>
        <v>2068</v>
      </c>
      <c r="B15" s="19">
        <v>68</v>
      </c>
      <c r="C15" s="95">
        <v>1</v>
      </c>
      <c r="D15" s="20"/>
      <c r="E15" s="255">
        <f ca="1">IF(AND(Cot_droits!$J$6&lt;1,$B15&gt;=Simulation!$D$6,$B15&lt;Simulation!$D$6+3,$B15&lt;Simulation!$D$27),Cot_droits!$J$6,IF(AND(Cot_droits!$J$6&gt;1,$B15=Simulation!$D$6),Cot_droits!$J$6,1))</f>
        <v>1</v>
      </c>
      <c r="F15" s="187">
        <f>IF($B15=Simulation!$D$6,Cot_droits!$J$11,IF($B15&gt;Simulation!$D$6,Retraite!$F14*(LOOKUP($A15,Barèmes!$AB$65:$AB$148,Barèmes!$BG$65:$BG$148)/LOOKUP($A15-1,Barèmes!$AB$65:$AB$148,Barèmes!$BG$65:$BG$148)),0))</f>
        <v>17164.478602489351</v>
      </c>
      <c r="G15" s="188">
        <f t="shared" ca="1" si="2"/>
        <v>17164.478602489351</v>
      </c>
      <c r="I15" s="187">
        <f>IF($B15=Simulation!$D$6,Cot_droits!$M$11,IF($B15&gt;Simulation!$D$6,Retraite!$I14*(1+LOOKUP($A15,Barèmes!$AB$65:$AB$148,Barèmes!$U$65:$U$148)),0))</f>
        <v>57990.271607849972</v>
      </c>
      <c r="K15" s="182">
        <f t="shared" ca="1" si="10"/>
        <v>75154.75021033932</v>
      </c>
      <c r="L15" s="189">
        <f t="shared" si="3"/>
        <v>57990.271607849972</v>
      </c>
      <c r="M15" s="189">
        <f t="shared" ca="1" si="4"/>
        <v>17164.478602489351</v>
      </c>
      <c r="N15" s="191">
        <f t="shared" ca="1" si="5"/>
        <v>68144.023155173549</v>
      </c>
      <c r="O15" s="327">
        <f ca="1">N15+IF(OR(S15=9.1%,S15=7.4%),K15*LOOKUP($A15,Barèmes!$CG$65:$CG$148,Barèmes!$CE$65:$CE$148),0)</f>
        <v>70548.975161904411</v>
      </c>
      <c r="P15" s="183">
        <f t="shared" ca="1" si="6"/>
        <v>52713.156891535626</v>
      </c>
      <c r="Q15" s="183">
        <f t="shared" ca="1" si="7"/>
        <v>15430.866263637927</v>
      </c>
      <c r="R15" s="277">
        <f ca="1">0.9*(O14+LOOKUP(A14,Salaires!$A$7:$A$58,Salaires!$I$7:$I$58))</f>
        <v>62379.189803085108</v>
      </c>
      <c r="S15" s="280">
        <f ca="1">IF($C15=1,IF(R15&lt;LOOKUP($A15,Barèmes!$AB$65:$AB$148,Barèmes!$BM$65:$BM$148),LOOKUP($A15,Barèmes!$AB$65:$AB$148,Barèmes!$BQ$65:$BQ$148),IF(R15&lt;LOOKUP($A15,Barèmes!$AB$65:$AB$148,Barèmes!$BN$65:$BN$148),LOOKUP($A15,Barèmes!$AB$65:$AB$148,Barèmes!$BR$65:$BR$148),IF(R15&lt;LOOKUP($A15,Barèmes!$AB$65:$AB$148,Barèmes!$BO$65:$BO$148),LOOKUP($A15,Barèmes!$AB$65:$AB$148,Barèmes!$BS$65:$BS$148),LOOKUP($A15,Barèmes!$AB$65:$AB$148,Barèmes!$BT$65:$BT$148)))),IF($C15=2,IF(R15&lt;LOOKUP($A15,Barèmes!$AB$65:$AB$148,Barèmes!$BW$65:$BW$148),LOOKUP($A15,Barèmes!$AB$65:$AB$148,Barèmes!$CA$65:$CA$148),IF(R15&lt;LOOKUP($A15,Barèmes!$AB$65:$AB$148,Barèmes!$BX$65:$BX$148),LOOKUP($A15,Barèmes!$AB$65:$AB$148,Barèmes!$CB$65:$CB$148),IF(R15&lt;LOOKUP($A15,Barèmes!$AB$65:$AB$148,Barèmes!$BY$65:$BY$148),LOOKUP($A15,Barèmes!$AB$65:$AB$148,Barèmes!$CC$65:$CC156),LOOKUP($A15,Barèmes!$AB$65:$AB$148,Barèmes!$CD$65:$CD$148))))))</f>
        <v>9.0999999999999998E-2</v>
      </c>
      <c r="T15" s="280">
        <f t="shared" ca="1" si="8"/>
        <v>0.10099999999999999</v>
      </c>
      <c r="U15" s="274">
        <f t="shared" ca="1" si="9"/>
        <v>9.3283884725110552E-2</v>
      </c>
    </row>
    <row r="16" spans="1:24" s="5" customFormat="1" ht="18.75" x14ac:dyDescent="0.3">
      <c r="A16" s="15">
        <f>B16+Simulation!$D$4</f>
        <v>2069</v>
      </c>
      <c r="B16" s="19">
        <v>69</v>
      </c>
      <c r="C16" s="95">
        <v>1</v>
      </c>
      <c r="D16" s="20"/>
      <c r="E16" s="255">
        <f ca="1">IF(AND(Cot_droits!$J$6&lt;1,$B16&gt;=Simulation!$D$6,$B16&lt;Simulation!$D$6+3,$B16&lt;Simulation!$D$27),Cot_droits!$J$6,IF(AND(Cot_droits!$J$6&gt;1,$B16=Simulation!$D$6),Cot_droits!$J$6,1))</f>
        <v>1</v>
      </c>
      <c r="F16" s="187">
        <f>IF($B16=Simulation!$D$6,Cot_droits!$J$11,IF($B16&gt;Simulation!$D$6,Retraite!$F15*(LOOKUP($A16,Barèmes!$AB$65:$AB$148,Barèmes!$BG$65:$BG$148)/LOOKUP($A16-1,Barèmes!$AB$65:$AB$148,Barèmes!$BG$65:$BG$148)),0))</f>
        <v>17493.233066732584</v>
      </c>
      <c r="G16" s="188">
        <f t="shared" ca="1" si="2"/>
        <v>17493.233066732584</v>
      </c>
      <c r="H16" s="185"/>
      <c r="I16" s="187">
        <f>IF($B16=Simulation!$D$6,Cot_droits!$M$11,IF($B16&gt;Simulation!$D$6,Retraite!$I15*(1+LOOKUP($A16,Barèmes!$AB$65:$AB$148,Barèmes!$U$65:$U$148)),0))</f>
        <v>59005.101360987348</v>
      </c>
      <c r="J16" s="184"/>
      <c r="K16" s="182">
        <f t="shared" ca="1" si="10"/>
        <v>76498.334427719936</v>
      </c>
      <c r="L16" s="189">
        <f t="shared" si="3"/>
        <v>59005.101360987348</v>
      </c>
      <c r="M16" s="189">
        <f t="shared" ca="1" si="4"/>
        <v>17493.233066732584</v>
      </c>
      <c r="N16" s="191">
        <f t="shared" ca="1" si="5"/>
        <v>69362.053664130101</v>
      </c>
      <c r="O16" s="327">
        <f ca="1">N16+IF(OR(S16=9.1%,S16=7.4%),K16*LOOKUP($A16,Barèmes!$CG$65:$CG$148,Barèmes!$CE$65:$CE$148),0)</f>
        <v>71810.000365817134</v>
      </c>
      <c r="P16" s="183">
        <f t="shared" ca="1" si="6"/>
        <v>53635.637137137499</v>
      </c>
      <c r="Q16" s="183">
        <f t="shared" ca="1" si="7"/>
        <v>15726.416526992594</v>
      </c>
      <c r="R16" s="277">
        <f ca="1">0.9*(O15+LOOKUP(A15,Salaires!$A$7:$A$58,Salaires!$I$7:$I$58))</f>
        <v>63494.077645713973</v>
      </c>
      <c r="S16" s="280">
        <f ca="1">IF($C16=1,IF(R16&lt;LOOKUP($A16,Barèmes!$AB$65:$AB$148,Barèmes!$BM$65:$BM$148),LOOKUP($A16,Barèmes!$AB$65:$AB$148,Barèmes!$BQ$65:$BQ$148),IF(R16&lt;LOOKUP($A16,Barèmes!$AB$65:$AB$148,Barèmes!$BN$65:$BN$148),LOOKUP($A16,Barèmes!$AB$65:$AB$148,Barèmes!$BR$65:$BR$148),IF(R16&lt;LOOKUP($A16,Barèmes!$AB$65:$AB$148,Barèmes!$BO$65:$BO$148),LOOKUP($A16,Barèmes!$AB$65:$AB$148,Barèmes!$BS$65:$BS$148),LOOKUP($A16,Barèmes!$AB$65:$AB$148,Barèmes!$BT$65:$BT$148)))),IF($C16=2,IF(R16&lt;LOOKUP($A16,Barèmes!$AB$65:$AB$148,Barèmes!$BW$65:$BW$148),LOOKUP($A16,Barèmes!$AB$65:$AB$148,Barèmes!$CA$65:$CA$148),IF(R16&lt;LOOKUP($A16,Barèmes!$AB$65:$AB$148,Barèmes!$BX$65:$BX$148),LOOKUP($A16,Barèmes!$AB$65:$AB$148,Barèmes!$CB$65:$CB$148),IF(R16&lt;LOOKUP($A16,Barèmes!$AB$65:$AB$148,Barèmes!$BY$65:$BY$148),LOOKUP($A16,Barèmes!$AB$65:$AB$148,Barèmes!$CC$65:$CC157),LOOKUP($A16,Barèmes!$AB$65:$AB$148,Barèmes!$CD$65:$CD$148))))))</f>
        <v>9.0999999999999998E-2</v>
      </c>
      <c r="T16" s="280">
        <f t="shared" ca="1" si="8"/>
        <v>0.10099999999999999</v>
      </c>
      <c r="U16" s="274">
        <f t="shared" ca="1" si="9"/>
        <v>9.3286746920386965E-2</v>
      </c>
      <c r="W16"/>
      <c r="X16"/>
    </row>
    <row r="17" spans="1:24" s="5" customFormat="1" ht="18.75" x14ac:dyDescent="0.3">
      <c r="A17" s="15">
        <f>B17+Simulation!$D$4</f>
        <v>2070</v>
      </c>
      <c r="B17" s="19">
        <v>70</v>
      </c>
      <c r="C17" s="95">
        <v>1</v>
      </c>
      <c r="D17" s="20"/>
      <c r="E17" s="255">
        <f ca="1">IF(AND(Cot_droits!$J$6&lt;1,$B17&gt;=Simulation!$D$6,$B17&lt;Simulation!$D$6+3,$B17&lt;Simulation!$D$27),Cot_droits!$J$6,IF(AND(Cot_droits!$J$6&gt;1,$B17=Simulation!$D$6),Cot_droits!$J$6,1))</f>
        <v>1</v>
      </c>
      <c r="F17" s="187">
        <f>IF($B17=Simulation!$D$6,Cot_droits!$J$11,IF($B17&gt;Simulation!$D$6,Retraite!$F16*(LOOKUP($A17,Barèmes!$AB$65:$AB$148,Barèmes!$BG$65:$BG$148)/LOOKUP($A17-1,Barèmes!$AB$65:$AB$148,Barèmes!$BG$65:$BG$148)),0))</f>
        <v>17828.256757973802</v>
      </c>
      <c r="G17" s="188">
        <f t="shared" ca="1" si="2"/>
        <v>17828.256757973802</v>
      </c>
      <c r="H17" s="185"/>
      <c r="I17" s="187">
        <f>IF($B17=Simulation!$D$6,Cot_droits!$M$11,IF($B17&gt;Simulation!$D$6,Retraite!$I16*(1+LOOKUP($A17,Barèmes!$AB$65:$AB$148,Barèmes!$U$65:$U$148)),0))</f>
        <v>60037.690634804632</v>
      </c>
      <c r="J17" s="184"/>
      <c r="K17" s="182">
        <f t="shared" ca="1" si="10"/>
        <v>77865.947392778442</v>
      </c>
      <c r="L17" s="189">
        <f t="shared" si="3"/>
        <v>60037.690634804632</v>
      </c>
      <c r="M17" s="189">
        <f t="shared" ca="1" si="4"/>
        <v>17828.256757973802</v>
      </c>
      <c r="N17" s="191">
        <f t="shared" ca="1" si="5"/>
        <v>70601.863612455869</v>
      </c>
      <c r="O17" s="327">
        <f ca="1">N17+IF(OR(S17=9.1%,S17=7.4%),K17*LOOKUP($A17,Barèmes!$CG$65:$CG$148,Barèmes!$CE$65:$CE$148),0)</f>
        <v>73093.573929024773</v>
      </c>
      <c r="P17" s="183">
        <f t="shared" ca="1" si="6"/>
        <v>54574.260787037412</v>
      </c>
      <c r="Q17" s="183">
        <f t="shared" ca="1" si="7"/>
        <v>16027.602825418449</v>
      </c>
      <c r="R17" s="277">
        <f ca="1">0.9*(O16+LOOKUP(A16,Salaires!$A$7:$A$58,Salaires!$I$7:$I$58))</f>
        <v>64629.000329235423</v>
      </c>
      <c r="S17" s="280">
        <f ca="1">IF($C17=1,IF(R17&lt;LOOKUP($A17,Barèmes!$AB$65:$AB$148,Barèmes!$BM$65:$BM$148),LOOKUP($A17,Barèmes!$AB$65:$AB$148,Barèmes!$BQ$65:$BQ$148),IF(R17&lt;LOOKUP($A17,Barèmes!$AB$65:$AB$148,Barèmes!$BN$65:$BN$148),LOOKUP($A17,Barèmes!$AB$65:$AB$148,Barèmes!$BR$65:$BR$148),IF(R17&lt;LOOKUP($A17,Barèmes!$AB$65:$AB$148,Barèmes!$BO$65:$BO$148),LOOKUP($A17,Barèmes!$AB$65:$AB$148,Barèmes!$BS$65:$BS$148),LOOKUP($A17,Barèmes!$AB$65:$AB$148,Barèmes!$BT$65:$BT$148)))),IF($C17=2,IF(R17&lt;LOOKUP($A17,Barèmes!$AB$65:$AB$148,Barèmes!$BW$65:$BW$148),LOOKUP($A17,Barèmes!$AB$65:$AB$148,Barèmes!$CA$65:$CA$148),IF(R17&lt;LOOKUP($A17,Barèmes!$AB$65:$AB$148,Barèmes!$BX$65:$BX$148),LOOKUP($A17,Barèmes!$AB$65:$AB$148,Barèmes!$CB$65:$CB$148),IF(R17&lt;LOOKUP($A17,Barèmes!$AB$65:$AB$148,Barèmes!$BY$65:$BY$148),LOOKUP($A17,Barèmes!$AB$65:$AB$148,Barèmes!$CC$65:$CC158),LOOKUP($A17,Barèmes!$AB$65:$AB$148,Barèmes!$CD$65:$CD$148))))))</f>
        <v>9.0999999999999998E-2</v>
      </c>
      <c r="T17" s="280">
        <f t="shared" ca="1" si="8"/>
        <v>0.10099999999999999</v>
      </c>
      <c r="U17" s="274">
        <f t="shared" ca="1" si="9"/>
        <v>9.3289608918265973E-2</v>
      </c>
      <c r="W17"/>
      <c r="X17"/>
    </row>
    <row r="18" spans="1:24" s="5" customFormat="1" ht="18.75" x14ac:dyDescent="0.3">
      <c r="A18" s="15">
        <f>B18+Simulation!$D$4</f>
        <v>2071</v>
      </c>
      <c r="B18" s="19">
        <v>71</v>
      </c>
      <c r="C18" s="95">
        <v>1</v>
      </c>
      <c r="D18" s="20"/>
      <c r="E18" s="255">
        <f ca="1">IF(AND(Cot_droits!$J$6&lt;1,$B18&gt;=Simulation!$D$6,$B18&lt;Simulation!$D$6+3,$B18&lt;Simulation!$D$27),Cot_droits!$J$6,IF(AND(Cot_droits!$J$6&gt;1,$B18=Simulation!$D$6),Cot_droits!$J$6,1))</f>
        <v>1</v>
      </c>
      <c r="F18" s="187">
        <f>IF($B18=Simulation!$D$6,Cot_droits!$J$11,IF($B18&gt;Simulation!$D$6,Retraite!$F17*(LOOKUP($A18,Barèmes!$AB$65:$AB$148,Barèmes!$BG$65:$BG$148)/LOOKUP($A18-1,Barèmes!$AB$65:$AB$148,Barèmes!$BG$65:$BG$148)),0))</f>
        <v>18169.535696074287</v>
      </c>
      <c r="G18" s="188">
        <f t="shared" ca="1" si="2"/>
        <v>18169.535696074287</v>
      </c>
      <c r="H18" s="185"/>
      <c r="I18" s="187">
        <f>IF($B18=Simulation!$D$6,Cot_droits!$M$11,IF($B18&gt;Simulation!$D$6,Retraite!$I17*(1+LOOKUP($A18,Barèmes!$AB$65:$AB$148,Barèmes!$U$65:$U$148)),0))</f>
        <v>61088.350220913715</v>
      </c>
      <c r="J18" s="184"/>
      <c r="K18" s="182">
        <f t="shared" ca="1" si="10"/>
        <v>79257.885916988002</v>
      </c>
      <c r="L18" s="189">
        <f t="shared" si="3"/>
        <v>61088.350220913715</v>
      </c>
      <c r="M18" s="189">
        <f t="shared" ca="1" si="4"/>
        <v>18169.535696074287</v>
      </c>
      <c r="N18" s="191">
        <f t="shared" ca="1" si="5"/>
        <v>71863.722941581349</v>
      </c>
      <c r="O18" s="327">
        <f ca="1">N18+IF(OR(S18=9.1%,S18=7.4%),K18*LOOKUP($A18,Barèmes!$CG$65:$CG$148,Barèmes!$CE$65:$CE$148),0)</f>
        <v>74399.975290924966</v>
      </c>
      <c r="P18" s="183">
        <f t="shared" ca="1" si="6"/>
        <v>55529.310350810571</v>
      </c>
      <c r="Q18" s="183">
        <f t="shared" ca="1" si="7"/>
        <v>16334.412590770784</v>
      </c>
      <c r="R18" s="277">
        <f ca="1">0.9*(O17+LOOKUP(A17,Salaires!$A$7:$A$58,Salaires!$I$7:$I$58))</f>
        <v>65784.216536122301</v>
      </c>
      <c r="S18" s="280">
        <f ca="1">IF($C18=1,IF(R18&lt;LOOKUP($A18,Barèmes!$AB$65:$AB$148,Barèmes!$BM$65:$BM$148),LOOKUP($A18,Barèmes!$AB$65:$AB$148,Barèmes!$BQ$65:$BQ$148),IF(R18&lt;LOOKUP($A18,Barèmes!$AB$65:$AB$148,Barèmes!$BN$65:$BN$148),LOOKUP($A18,Barèmes!$AB$65:$AB$148,Barèmes!$BR$65:$BR$148),IF(R18&lt;LOOKUP($A18,Barèmes!$AB$65:$AB$148,Barèmes!$BO$65:$BO$148),LOOKUP($A18,Barèmes!$AB$65:$AB$148,Barèmes!$BS$65:$BS$148),LOOKUP($A18,Barèmes!$AB$65:$AB$148,Barèmes!$BT$65:$BT$148)))),IF($C18=2,IF(R18&lt;LOOKUP($A18,Barèmes!$AB$65:$AB$148,Barèmes!$BW$65:$BW$148),LOOKUP($A18,Barèmes!$AB$65:$AB$148,Barèmes!$CA$65:$CA$148),IF(R18&lt;LOOKUP($A18,Barèmes!$AB$65:$AB$148,Barèmes!$BX$65:$BX$148),LOOKUP($A18,Barèmes!$AB$65:$AB$148,Barèmes!$CB$65:$CB$148),IF(R18&lt;LOOKUP($A18,Barèmes!$AB$65:$AB$148,Barèmes!$BY$65:$BY$148),LOOKUP($A18,Barèmes!$AB$65:$AB$148,Barèmes!$CC$65:$CC159),LOOKUP($A18,Barèmes!$AB$65:$AB$148,Barèmes!$CD$65:$CD$148))))))</f>
        <v>9.0999999999999998E-2</v>
      </c>
      <c r="T18" s="280">
        <f t="shared" ca="1" si="8"/>
        <v>0.10099999999999999</v>
      </c>
      <c r="U18" s="274">
        <f t="shared" ca="1" si="9"/>
        <v>9.3292457777022289E-2</v>
      </c>
      <c r="W18"/>
      <c r="X18"/>
    </row>
    <row r="19" spans="1:24" s="5" customFormat="1" ht="18.75" x14ac:dyDescent="0.3">
      <c r="A19" s="15">
        <f>B19+Simulation!$D$4</f>
        <v>2072</v>
      </c>
      <c r="B19" s="19">
        <v>72</v>
      </c>
      <c r="C19" s="95">
        <v>1</v>
      </c>
      <c r="D19" s="20"/>
      <c r="E19" s="255">
        <f ca="1">IF(AND(Cot_droits!$J$6&lt;1,$B19&gt;=Simulation!$D$6,$B19&lt;Simulation!$D$6+3,$B19&lt;Simulation!$D$27),Cot_droits!$J$6,IF(AND(Cot_droits!$J$6&gt;1,$B19=Simulation!$D$6),Cot_droits!$J$6,1))</f>
        <v>1</v>
      </c>
      <c r="F19" s="187">
        <f>IF($B19=Simulation!$D$6,Cot_droits!$J$11,IF($B19&gt;Simulation!$D$6,Retraite!$F18*(LOOKUP($A19,Barèmes!$AB$65:$AB$148,Barèmes!$BG$65:$BG$148)/LOOKUP($A19-1,Barèmes!$AB$65:$AB$148,Barèmes!$BG$65:$BG$148)),0))</f>
        <v>18517.073490100942</v>
      </c>
      <c r="G19" s="188">
        <f t="shared" ca="1" si="2"/>
        <v>18517.073490100942</v>
      </c>
      <c r="H19" s="185"/>
      <c r="I19" s="187">
        <f>IF($B19=Simulation!$D$6,Cot_droits!$M$11,IF($B19&gt;Simulation!$D$6,Retraite!$I18*(1+LOOKUP($A19,Barèmes!$AB$65:$AB$148,Barèmes!$U$65:$U$148)),0))</f>
        <v>62157.396349779709</v>
      </c>
      <c r="J19" s="184"/>
      <c r="K19" s="182">
        <f t="shared" ca="1" si="10"/>
        <v>80674.46983988065</v>
      </c>
      <c r="L19" s="189">
        <f t="shared" si="3"/>
        <v>62157.396349779709</v>
      </c>
      <c r="M19" s="189">
        <f t="shared" ca="1" si="4"/>
        <v>18517.073490100942</v>
      </c>
      <c r="N19" s="191">
        <f t="shared" ca="1" si="5"/>
        <v>73147.922349550499</v>
      </c>
      <c r="O19" s="327">
        <f ca="1">N19+IF(OR(S19=9.1%,S19=7.4%),K19*LOOKUP($A19,Barèmes!$CG$65:$CG$148,Barèmes!$CE$65:$CE$148),0)</f>
        <v>75729.50538442668</v>
      </c>
      <c r="P19" s="183">
        <f t="shared" ca="1" si="6"/>
        <v>56501.073281949757</v>
      </c>
      <c r="Q19" s="183">
        <f t="shared" ca="1" si="7"/>
        <v>16646.849067600746</v>
      </c>
      <c r="R19" s="277">
        <f ca="1">0.9*(O18+LOOKUP(A18,Salaires!$A$7:$A$58,Salaires!$I$7:$I$58))</f>
        <v>66959.977761832473</v>
      </c>
      <c r="S19" s="280">
        <f ca="1">IF($C19=1,IF(R19&lt;LOOKUP($A19,Barèmes!$AB$65:$AB$148,Barèmes!$BM$65:$BM$148),LOOKUP($A19,Barèmes!$AB$65:$AB$148,Barèmes!$BQ$65:$BQ$148),IF(R19&lt;LOOKUP($A19,Barèmes!$AB$65:$AB$148,Barèmes!$BN$65:$BN$148),LOOKUP($A19,Barèmes!$AB$65:$AB$148,Barèmes!$BR$65:$BR$148),IF(R19&lt;LOOKUP($A19,Barèmes!$AB$65:$AB$148,Barèmes!$BO$65:$BO$148),LOOKUP($A19,Barèmes!$AB$65:$AB$148,Barèmes!$BS$65:$BS$148),LOOKUP($A19,Barèmes!$AB$65:$AB$148,Barèmes!$BT$65:$BT$148)))),IF($C19=2,IF(R19&lt;LOOKUP($A19,Barèmes!$AB$65:$AB$148,Barèmes!$BW$65:$BW$148),LOOKUP($A19,Barèmes!$AB$65:$AB$148,Barèmes!$CA$65:$CA$148),IF(R19&lt;LOOKUP($A19,Barèmes!$AB$65:$AB$148,Barèmes!$BX$65:$BX$148),LOOKUP($A19,Barèmes!$AB$65:$AB$148,Barèmes!$CB$65:$CB$148),IF(R19&lt;LOOKUP($A19,Barèmes!$AB$65:$AB$148,Barèmes!$BY$65:$BY$148),LOOKUP($A19,Barèmes!$AB$65:$AB$148,Barèmes!$CC$65:$CC160),LOOKUP($A19,Barèmes!$AB$65:$AB$148,Barèmes!$CD$65:$CD$148))))))</f>
        <v>9.0999999999999998E-2</v>
      </c>
      <c r="T19" s="280">
        <f t="shared" ca="1" si="8"/>
        <v>0.10099999999999999</v>
      </c>
      <c r="U19" s="274">
        <f t="shared" ca="1" si="9"/>
        <v>9.3295282947238836E-2</v>
      </c>
      <c r="W19"/>
      <c r="X19"/>
    </row>
    <row r="20" spans="1:24" s="5" customFormat="1" ht="18.75" x14ac:dyDescent="0.3">
      <c r="A20" s="15">
        <f>B20+Simulation!$D$4</f>
        <v>2073</v>
      </c>
      <c r="B20" s="19">
        <v>73</v>
      </c>
      <c r="C20" s="95">
        <v>1</v>
      </c>
      <c r="D20" s="20"/>
      <c r="E20" s="255">
        <f ca="1">IF(AND(Cot_droits!$J$6&lt;1,$B20&gt;=Simulation!$D$6,$B20&lt;Simulation!$D$6+3,$B20&lt;Simulation!$D$27),Cot_droits!$J$6,IF(AND(Cot_droits!$J$6&gt;1,$B20=Simulation!$D$6),Cot_droits!$J$6,1))</f>
        <v>1</v>
      </c>
      <c r="F20" s="187">
        <f>IF($B20=Simulation!$D$6,Cot_droits!$J$11,IF($B20&gt;Simulation!$D$6,Retraite!$F19*(LOOKUP($A20,Barèmes!$AB$65:$AB$148,Barèmes!$BG$65:$BG$148)/LOOKUP($A20-1,Barèmes!$AB$65:$AB$148,Barèmes!$BG$65:$BG$148)),0))</f>
        <v>18871.258813282846</v>
      </c>
      <c r="G20" s="188">
        <f t="shared" ca="1" si="2"/>
        <v>18871.258813282846</v>
      </c>
      <c r="H20" s="185"/>
      <c r="I20" s="187">
        <f>IF($B20=Simulation!$D$6,Cot_droits!$M$11,IF($B20&gt;Simulation!$D$6,Retraite!$I19*(1+LOOKUP($A20,Barèmes!$AB$65:$AB$148,Barèmes!$U$65:$U$148)),0))</f>
        <v>63245.150785900856</v>
      </c>
      <c r="J20" s="184"/>
      <c r="K20" s="182">
        <f t="shared" ca="1" si="10"/>
        <v>82116.409599183709</v>
      </c>
      <c r="L20" s="189">
        <f t="shared" si="3"/>
        <v>63245.150785900856</v>
      </c>
      <c r="M20" s="189">
        <f t="shared" ca="1" si="4"/>
        <v>18871.258813282846</v>
      </c>
      <c r="N20" s="191">
        <f t="shared" ca="1" si="5"/>
        <v>74455.103737525162</v>
      </c>
      <c r="O20" s="327">
        <f ca="1">N20+IF(OR(S20=9.1%,S20=7.4%),K20*LOOKUP($A20,Barèmes!$CG$65:$CG$148,Barèmes!$CE$65:$CE$148),0)</f>
        <v>77082.828844699034</v>
      </c>
      <c r="P20" s="183">
        <f t="shared" ca="1" si="6"/>
        <v>57489.842064383884</v>
      </c>
      <c r="Q20" s="183">
        <f t="shared" ca="1" si="7"/>
        <v>16965.261673141278</v>
      </c>
      <c r="R20" s="277">
        <f ca="1">0.9*(O19+LOOKUP(A19,Salaires!$A$7:$A$58,Salaires!$I$7:$I$58))</f>
        <v>68156.554845984021</v>
      </c>
      <c r="S20" s="280">
        <f ca="1">IF($C20=1,IF(R20&lt;LOOKUP($A20,Barèmes!$AB$65:$AB$148,Barèmes!$BM$65:$BM$148),LOOKUP($A20,Barèmes!$AB$65:$AB$148,Barèmes!$BQ$65:$BQ$148),IF(R20&lt;LOOKUP($A20,Barèmes!$AB$65:$AB$148,Barèmes!$BN$65:$BN$148),LOOKUP($A20,Barèmes!$AB$65:$AB$148,Barèmes!$BR$65:$BR$148),IF(R20&lt;LOOKUP($A20,Barèmes!$AB$65:$AB$148,Barèmes!$BO$65:$BO$148),LOOKUP($A20,Barèmes!$AB$65:$AB$148,Barèmes!$BS$65:$BS$148),LOOKUP($A20,Barèmes!$AB$65:$AB$148,Barèmes!$BT$65:$BT$148)))),IF($C20=2,IF(R20&lt;LOOKUP($A20,Barèmes!$AB$65:$AB$148,Barèmes!$BW$65:$BW$148),LOOKUP($A20,Barèmes!$AB$65:$AB$148,Barèmes!$CA$65:$CA$148),IF(R20&lt;LOOKUP($A20,Barèmes!$AB$65:$AB$148,Barèmes!$BX$65:$BX$148),LOOKUP($A20,Barèmes!$AB$65:$AB$148,Barèmes!$CB$65:$CB$148),IF(R20&lt;LOOKUP($A20,Barèmes!$AB$65:$AB$148,Barèmes!$BY$65:$BY$148),LOOKUP($A20,Barèmes!$AB$65:$AB$148,Barèmes!$CC$65:$CC161),LOOKUP($A20,Barèmes!$AB$65:$AB$148,Barèmes!$CD$65:$CD$148))))))</f>
        <v>9.0999999999999998E-2</v>
      </c>
      <c r="T20" s="280">
        <f t="shared" ca="1" si="8"/>
        <v>0.10099999999999999</v>
      </c>
      <c r="U20" s="274">
        <f t="shared" ca="1" si="9"/>
        <v>9.3298110561018804E-2</v>
      </c>
      <c r="W20"/>
      <c r="X20"/>
    </row>
    <row r="21" spans="1:24" s="5" customFormat="1" ht="18.75" x14ac:dyDescent="0.3">
      <c r="A21" s="15">
        <f>B21+Simulation!$D$4</f>
        <v>2074</v>
      </c>
      <c r="B21" s="19">
        <v>74</v>
      </c>
      <c r="C21" s="95">
        <v>1</v>
      </c>
      <c r="D21" s="20"/>
      <c r="E21" s="255">
        <f ca="1">IF(AND(Cot_droits!$J$6&lt;1,$B21&gt;=Simulation!$D$6,$B21&lt;Simulation!$D$6+3,$B21&lt;Simulation!$D$27),Cot_droits!$J$6,IF(AND(Cot_droits!$J$6&gt;1,$B21=Simulation!$D$6),Cot_droits!$J$6,1))</f>
        <v>1</v>
      </c>
      <c r="F21" s="187">
        <f>IF($B21=Simulation!$D$6,Cot_droits!$J$11,IF($B21&gt;Simulation!$D$6,Retraite!$F20*(LOOKUP($A21,Barèmes!$AB$65:$AB$148,Barèmes!$BG$65:$BG$148)/LOOKUP($A21-1,Barèmes!$AB$65:$AB$148,Barèmes!$BG$65:$BG$148)),0))</f>
        <v>19232.218816233912</v>
      </c>
      <c r="G21" s="188">
        <f t="shared" ca="1" si="2"/>
        <v>19232.218816233912</v>
      </c>
      <c r="H21" s="185"/>
      <c r="I21" s="187">
        <f>IF($B21=Simulation!$D$6,Cot_droits!$M$11,IF($B21&gt;Simulation!$D$6,Retraite!$I20*(1+LOOKUP($A21,Barèmes!$AB$65:$AB$148,Barèmes!$U$65:$U$148)),0))</f>
        <v>64351.940924654125</v>
      </c>
      <c r="J21" s="184"/>
      <c r="K21" s="182">
        <f t="shared" ca="1" si="10"/>
        <v>83584.159740888033</v>
      </c>
      <c r="L21" s="189">
        <f t="shared" si="3"/>
        <v>64351.940924654125</v>
      </c>
      <c r="M21" s="189">
        <f t="shared" ca="1" si="4"/>
        <v>19232.218816233912</v>
      </c>
      <c r="N21" s="191">
        <f t="shared" ca="1" si="5"/>
        <v>75785.679016304886</v>
      </c>
      <c r="O21" s="327">
        <f ca="1">N21+IF(OR(S21=9.1%,S21=7.4%),K21*LOOKUP($A21,Barèmes!$CG$65:$CG$148,Barèmes!$CE$65:$CE$148),0)</f>
        <v>78460.372128013303</v>
      </c>
      <c r="P21" s="183">
        <f t="shared" ca="1" si="6"/>
        <v>58495.914300510602</v>
      </c>
      <c r="Q21" s="183">
        <f t="shared" ca="1" si="7"/>
        <v>17289.764715794288</v>
      </c>
      <c r="R21" s="277">
        <f ca="1">0.9*(O20+LOOKUP(A20,Salaires!$A$7:$A$58,Salaires!$I$7:$I$58))</f>
        <v>69374.545960229138</v>
      </c>
      <c r="S21" s="280">
        <f ca="1">IF($C21=1,IF(R21&lt;LOOKUP($A21,Barèmes!$AB$65:$AB$148,Barèmes!$BM$65:$BM$148),LOOKUP($A21,Barèmes!$AB$65:$AB$148,Barèmes!$BQ$65:$BQ$148),IF(R21&lt;LOOKUP($A21,Barèmes!$AB$65:$AB$148,Barèmes!$BN$65:$BN$148),LOOKUP($A21,Barèmes!$AB$65:$AB$148,Barèmes!$BR$65:$BR$148),IF(R21&lt;LOOKUP($A21,Barèmes!$AB$65:$AB$148,Barèmes!$BO$65:$BO$148),LOOKUP($A21,Barèmes!$AB$65:$AB$148,Barèmes!$BS$65:$BS$148),LOOKUP($A21,Barèmes!$AB$65:$AB$148,Barèmes!$BT$65:$BT$148)))),IF($C21=2,IF(R21&lt;LOOKUP($A21,Barèmes!$AB$65:$AB$148,Barèmes!$BW$65:$BW$148),LOOKUP($A21,Barèmes!$AB$65:$AB$148,Barèmes!$CA$65:$CA$148),IF(R21&lt;LOOKUP($A21,Barèmes!$AB$65:$AB$148,Barèmes!$BX$65:$BX$148),LOOKUP($A21,Barèmes!$AB$65:$AB$148,Barèmes!$CB$65:$CB$148),IF(R21&lt;LOOKUP($A21,Barèmes!$AB$65:$AB$148,Barèmes!$BY$65:$BY$148),LOOKUP($A21,Barèmes!$AB$65:$AB$148,Barèmes!$CC$65:$CC162),LOOKUP($A21,Barèmes!$AB$65:$AB$148,Barèmes!$CD$65:$CD$148))))))</f>
        <v>9.0999999999999998E-2</v>
      </c>
      <c r="T21" s="280">
        <f t="shared" ca="1" si="8"/>
        <v>0.10099999999999999</v>
      </c>
      <c r="U21" s="274">
        <f t="shared" ca="1" si="9"/>
        <v>9.3300940617917771E-2</v>
      </c>
    </row>
    <row r="22" spans="1:24" s="5" customFormat="1" ht="18.75" x14ac:dyDescent="0.3">
      <c r="A22" s="15">
        <f>B22+Simulation!$D$4</f>
        <v>2075</v>
      </c>
      <c r="B22" s="19">
        <v>75</v>
      </c>
      <c r="C22" s="95">
        <v>1</v>
      </c>
      <c r="D22" s="20"/>
      <c r="E22" s="255">
        <f ca="1">IF(AND(Cot_droits!$J$6&lt;1,$B22&gt;=Simulation!$D$6,$B22&lt;Simulation!$D$6+3,$B22&lt;Simulation!$D$27),Cot_droits!$J$6,IF(AND(Cot_droits!$J$6&gt;1,$B22=Simulation!$D$6),Cot_droits!$J$6,1))</f>
        <v>1</v>
      </c>
      <c r="F22" s="187">
        <f>IF($B22=Simulation!$D$6,Cot_droits!$J$11,IF($B22&gt;Simulation!$D$6,Retraite!$F21*(LOOKUP($A22,Barèmes!$AB$65:$AB$148,Barèmes!$BG$65:$BG$148)/LOOKUP($A22-1,Barèmes!$AB$65:$AB$148,Barèmes!$BG$65:$BG$148)),0))</f>
        <v>19600.083081641424</v>
      </c>
      <c r="G22" s="188">
        <f t="shared" ca="1" si="2"/>
        <v>19600.083081641424</v>
      </c>
      <c r="H22" s="185"/>
      <c r="I22" s="187">
        <f>IF($B22=Simulation!$D$6,Cot_droits!$M$11,IF($B22&gt;Simulation!$D$6,Retraite!$I21*(1+LOOKUP($A22,Barèmes!$AB$65:$AB$148,Barèmes!$U$65:$U$148)),0))</f>
        <v>65478.099890835576</v>
      </c>
      <c r="J22" s="184"/>
      <c r="K22" s="182">
        <f t="shared" ca="1" si="10"/>
        <v>85078.182972476992</v>
      </c>
      <c r="L22" s="189">
        <f t="shared" si="3"/>
        <v>65478.099890835576</v>
      </c>
      <c r="M22" s="189">
        <f t="shared" ca="1" si="4"/>
        <v>19600.083081641424</v>
      </c>
      <c r="N22" s="191">
        <f t="shared" ca="1" si="5"/>
        <v>77140.067491165188</v>
      </c>
      <c r="O22" s="327">
        <f ca="1">N22+IF(OR(S22=9.1%,S22=7.4%),K22*LOOKUP($A22,Barèmes!$CG$65:$CG$148,Barèmes!$CE$65:$CE$148),0)</f>
        <v>79862.56934628445</v>
      </c>
      <c r="P22" s="183">
        <f t="shared" ca="1" si="6"/>
        <v>59519.59280076954</v>
      </c>
      <c r="Q22" s="183">
        <f t="shared" ca="1" si="7"/>
        <v>17620.47469039564</v>
      </c>
      <c r="R22" s="277">
        <f ca="1">0.9*(O21+LOOKUP(A21,Salaires!$A$7:$A$58,Salaires!$I$7:$I$58))</f>
        <v>70614.334915211977</v>
      </c>
      <c r="S22" s="280">
        <f ca="1">IF($C22=1,IF(R22&lt;LOOKUP($A22,Barèmes!$AB$65:$AB$148,Barèmes!$BM$65:$BM$148),LOOKUP($A22,Barèmes!$AB$65:$AB$148,Barèmes!$BQ$65:$BQ$148),IF(R22&lt;LOOKUP($A22,Barèmes!$AB$65:$AB$148,Barèmes!$BN$65:$BN$148),LOOKUP($A22,Barèmes!$AB$65:$AB$148,Barèmes!$BR$65:$BR$148),IF(R22&lt;LOOKUP($A22,Barèmes!$AB$65:$AB$148,Barèmes!$BO$65:$BO$148),LOOKUP($A22,Barèmes!$AB$65:$AB$148,Barèmes!$BS$65:$BS$148),LOOKUP($A22,Barèmes!$AB$65:$AB$148,Barèmes!$BT$65:$BT$148)))),IF($C22=2,IF(R22&lt;LOOKUP($A22,Barèmes!$AB$65:$AB$148,Barèmes!$BW$65:$BW$148),LOOKUP($A22,Barèmes!$AB$65:$AB$148,Barèmes!$CA$65:$CA$148),IF(R22&lt;LOOKUP($A22,Barèmes!$AB$65:$AB$148,Barèmes!$BX$65:$BX$148),LOOKUP($A22,Barèmes!$AB$65:$AB$148,Barèmes!$CB$65:$CB$148),IF(R22&lt;LOOKUP($A22,Barèmes!$AB$65:$AB$148,Barèmes!$BY$65:$BY$148),LOOKUP($A22,Barèmes!$AB$65:$AB$148,Barèmes!$CC$65:$CC163),LOOKUP($A22,Barèmes!$AB$65:$AB$148,Barèmes!$CD$65:$CD$148))))))</f>
        <v>9.0999999999999998E-2</v>
      </c>
      <c r="T22" s="280">
        <f t="shared" ca="1" si="8"/>
        <v>0.10099999999999999</v>
      </c>
      <c r="U22" s="274">
        <f t="shared" ca="1" si="9"/>
        <v>9.3303773117484251E-2</v>
      </c>
    </row>
    <row r="23" spans="1:24" s="5" customFormat="1" ht="18.75" x14ac:dyDescent="0.3">
      <c r="A23" s="15">
        <f>B23+Simulation!$D$4</f>
        <v>2076</v>
      </c>
      <c r="B23" s="19">
        <v>76</v>
      </c>
      <c r="C23" s="95">
        <v>1</v>
      </c>
      <c r="D23" s="20"/>
      <c r="E23" s="255">
        <f ca="1">IF(AND(Cot_droits!$J$6&lt;1,$B23&gt;=Simulation!$D$6,$B23&lt;Simulation!$D$6+3,$B23&lt;Simulation!$D$27),Cot_droits!$J$6,IF(AND(Cot_droits!$J$6&gt;1,$B23=Simulation!$D$6),Cot_droits!$J$6,1))</f>
        <v>1</v>
      </c>
      <c r="F23" s="187">
        <f>IF($B23=Simulation!$D$6,Cot_droits!$J$11,IF($B23&gt;Simulation!$D$6,Retraite!$F22*(LOOKUP($A23,Barèmes!$AB$65:$AB$148,Barèmes!$BG$65:$BG$148)/LOOKUP($A23-1,Barèmes!$AB$65:$AB$148,Barèmes!$BG$65:$BG$148)),0))</f>
        <v>19974.983670785517</v>
      </c>
      <c r="G23" s="188">
        <f t="shared" ca="1" si="2"/>
        <v>19974.983670785517</v>
      </c>
      <c r="H23" s="185"/>
      <c r="I23" s="187">
        <f>IF($B23=Simulation!$D$6,Cot_droits!$M$11,IF($B23&gt;Simulation!$D$6,Retraite!$I22*(1+LOOKUP($A23,Barèmes!$AB$65:$AB$148,Barèmes!$U$65:$U$148)),0))</f>
        <v>66623.966638925209</v>
      </c>
      <c r="J23" s="184"/>
      <c r="K23" s="182">
        <f t="shared" ca="1" si="10"/>
        <v>86598.950309710723</v>
      </c>
      <c r="L23" s="189">
        <f t="shared" si="3"/>
        <v>66623.966638925209</v>
      </c>
      <c r="M23" s="189">
        <f t="shared" ca="1" si="4"/>
        <v>19974.983670785517</v>
      </c>
      <c r="N23" s="191">
        <f t="shared" ca="1" si="5"/>
        <v>78518.695994819194</v>
      </c>
      <c r="O23" s="327">
        <f ca="1">N23+IF(OR(S23=9.1%,S23=7.4%),K23*LOOKUP($A23,Barèmes!$CG$65:$CG$148,Barèmes!$CE$65:$CE$148),0)</f>
        <v>81289.862404729938</v>
      </c>
      <c r="P23" s="183">
        <f t="shared" ca="1" si="6"/>
        <v>60561.185674783017</v>
      </c>
      <c r="Q23" s="183">
        <f t="shared" ca="1" si="7"/>
        <v>17957.510320036181</v>
      </c>
      <c r="R23" s="277">
        <f ca="1">0.9*(O22+LOOKUP(A22,Salaires!$A$7:$A$58,Salaires!$I$7:$I$58))</f>
        <v>71876.312411656007</v>
      </c>
      <c r="S23" s="280">
        <f ca="1">IF($C23=1,IF(R23&lt;LOOKUP($A23,Barèmes!$AB$65:$AB$148,Barèmes!$BM$65:$BM$148),LOOKUP($A23,Barèmes!$AB$65:$AB$148,Barèmes!$BQ$65:$BQ$148),IF(R23&lt;LOOKUP($A23,Barèmes!$AB$65:$AB$148,Barèmes!$BN$65:$BN$148),LOOKUP($A23,Barèmes!$AB$65:$AB$148,Barèmes!$BR$65:$BR$148),IF(R23&lt;LOOKUP($A23,Barèmes!$AB$65:$AB$148,Barèmes!$BO$65:$BO$148),LOOKUP($A23,Barèmes!$AB$65:$AB$148,Barèmes!$BS$65:$BS$148),LOOKUP($A23,Barèmes!$AB$65:$AB$148,Barèmes!$BT$65:$BT$148)))),IF($C23=2,IF(R23&lt;LOOKUP($A23,Barèmes!$AB$65:$AB$148,Barèmes!$BW$65:$BW$148),LOOKUP($A23,Barèmes!$AB$65:$AB$148,Barèmes!$CA$65:$CA$148),IF(R23&lt;LOOKUP($A23,Barèmes!$AB$65:$AB$148,Barèmes!$BX$65:$BX$148),LOOKUP($A23,Barèmes!$AB$65:$AB$148,Barèmes!$CB$65:$CB$148),IF(R23&lt;LOOKUP($A23,Barèmes!$AB$65:$AB$148,Barèmes!$BY$65:$BY$148),LOOKUP($A23,Barèmes!$AB$65:$AB$148,Barèmes!$CC$65:$CC164),LOOKUP($A23,Barèmes!$AB$65:$AB$148,Barèmes!$CD$65:$CD$148))))))</f>
        <v>9.0999999999999998E-2</v>
      </c>
      <c r="T23" s="280">
        <f t="shared" ca="1" si="8"/>
        <v>0.10099999999999999</v>
      </c>
      <c r="U23" s="274">
        <f t="shared" ca="1" si="9"/>
        <v>9.3306608059260207E-2</v>
      </c>
    </row>
    <row r="24" spans="1:24" s="5" customFormat="1" ht="18.75" x14ac:dyDescent="0.3">
      <c r="A24" s="15">
        <f>B24+Simulation!$D$4</f>
        <v>2077</v>
      </c>
      <c r="B24" s="19">
        <v>77</v>
      </c>
      <c r="C24" s="95">
        <v>1</v>
      </c>
      <c r="D24" s="20"/>
      <c r="E24" s="255">
        <f ca="1">IF(AND(Cot_droits!$J$6&lt;1,$B24&gt;=Simulation!$D$6,$B24&lt;Simulation!$D$6+3,$B24&lt;Simulation!$D$27),Cot_droits!$J$6,IF(AND(Cot_droits!$J$6&gt;1,$B24=Simulation!$D$6),Cot_droits!$J$6,1))</f>
        <v>1</v>
      </c>
      <c r="F24" s="187">
        <f>IF($B24=Simulation!$D$6,Cot_droits!$J$11,IF($B24&gt;Simulation!$D$6,Retraite!$F23*(LOOKUP($A24,Barèmes!$AB$65:$AB$148,Barèmes!$BG$65:$BG$148)/LOOKUP($A24-1,Barèmes!$AB$65:$AB$148,Barèmes!$BG$65:$BG$148)),0))</f>
        <v>20357.055170948468</v>
      </c>
      <c r="G24" s="188">
        <f t="shared" ca="1" si="2"/>
        <v>20357.055170948468</v>
      </c>
      <c r="H24" s="185"/>
      <c r="I24" s="187">
        <f>IF($B24=Simulation!$D$6,Cot_droits!$M$11,IF($B24&gt;Simulation!$D$6,Retraite!$I23*(1+LOOKUP($A24,Barèmes!$AB$65:$AB$148,Barèmes!$U$65:$U$148)),0))</f>
        <v>67789.886055106399</v>
      </c>
      <c r="J24" s="184"/>
      <c r="K24" s="182">
        <f t="shared" ca="1" si="10"/>
        <v>88146.941226054871</v>
      </c>
      <c r="L24" s="189">
        <f t="shared" si="3"/>
        <v>67789.886055106399</v>
      </c>
      <c r="M24" s="189">
        <f t="shared" ca="1" si="4"/>
        <v>20357.055170948468</v>
      </c>
      <c r="N24" s="191">
        <f t="shared" ca="1" si="5"/>
        <v>79921.999022774398</v>
      </c>
      <c r="O24" s="327">
        <f ca="1">N24+IF(OR(S24=9.1%,S24=7.4%),K24*LOOKUP($A24,Barèmes!$CG$65:$CG$148,Barèmes!$CE$65:$CE$148),0)</f>
        <v>82742.701142008154</v>
      </c>
      <c r="P24" s="183">
        <f t="shared" ca="1" si="6"/>
        <v>61621.00642409172</v>
      </c>
      <c r="Q24" s="183">
        <f t="shared" ca="1" si="7"/>
        <v>18300.992598682675</v>
      </c>
      <c r="R24" s="277">
        <f ca="1">0.9*(O23+LOOKUP(A23,Salaires!$A$7:$A$58,Salaires!$I$7:$I$58))</f>
        <v>73160.876164256944</v>
      </c>
      <c r="S24" s="280">
        <f ca="1">IF($C24=1,IF(R24&lt;LOOKUP($A24,Barèmes!$AB$65:$AB$148,Barèmes!$BM$65:$BM$148),LOOKUP($A24,Barèmes!$AB$65:$AB$148,Barèmes!$BQ$65:$BQ$148),IF(R24&lt;LOOKUP($A24,Barèmes!$AB$65:$AB$148,Barèmes!$BN$65:$BN$148),LOOKUP($A24,Barèmes!$AB$65:$AB$148,Barèmes!$BR$65:$BR$148),IF(R24&lt;LOOKUP($A24,Barèmes!$AB$65:$AB$148,Barèmes!$BO$65:$BO$148),LOOKUP($A24,Barèmes!$AB$65:$AB$148,Barèmes!$BS$65:$BS$148),LOOKUP($A24,Barèmes!$AB$65:$AB$148,Barèmes!$BT$65:$BT$148)))),IF($C24=2,IF(R24&lt;LOOKUP($A24,Barèmes!$AB$65:$AB$148,Barèmes!$BW$65:$BW$148),LOOKUP($A24,Barèmes!$AB$65:$AB$148,Barèmes!$CA$65:$CA$148),IF(R24&lt;LOOKUP($A24,Barèmes!$AB$65:$AB$148,Barèmes!$BX$65:$BX$148),LOOKUP($A24,Barèmes!$AB$65:$AB$148,Barèmes!$CB$65:$CB$148),IF(R24&lt;LOOKUP($A24,Barèmes!$AB$65:$AB$148,Barèmes!$BY$65:$BY$148),LOOKUP($A24,Barèmes!$AB$65:$AB$148,Barèmes!$CC$65:$CC165),LOOKUP($A24,Barèmes!$AB$65:$AB$148,Barèmes!$CD$65:$CD$148))))))</f>
        <v>9.0999999999999998E-2</v>
      </c>
      <c r="T24" s="280">
        <f t="shared" ca="1" si="8"/>
        <v>0.10099999999999999</v>
      </c>
      <c r="U24" s="274">
        <f t="shared" ca="1" si="9"/>
        <v>9.3309445442779665E-2</v>
      </c>
    </row>
    <row r="25" spans="1:24" s="5" customFormat="1" ht="18.75" x14ac:dyDescent="0.3">
      <c r="A25" s="15">
        <f>B25+Simulation!$D$4</f>
        <v>2078</v>
      </c>
      <c r="B25" s="19">
        <v>78</v>
      </c>
      <c r="C25" s="95">
        <v>1</v>
      </c>
      <c r="D25" s="20"/>
      <c r="E25" s="255">
        <f ca="1">IF(AND(Cot_droits!$J$6&lt;1,$B25&gt;=Simulation!$D$6,$B25&lt;Simulation!$D$6+3,$B25&lt;Simulation!$D$27),Cot_droits!$J$6,IF(AND(Cot_droits!$J$6&gt;1,$B25=Simulation!$D$6),Cot_droits!$J$6,1))</f>
        <v>1</v>
      </c>
      <c r="F25" s="187">
        <f>IF($B25=Simulation!$D$6,Cot_droits!$J$11,IF($B25&gt;Simulation!$D$6,Retraite!$F24*(LOOKUP($A25,Barèmes!$AB$65:$AB$148,Barèmes!$BG$65:$BG$148)/LOOKUP($A25-1,Barèmes!$AB$65:$AB$148,Barèmes!$BG$65:$BG$148)),0))</f>
        <v>20746.434743730784</v>
      </c>
      <c r="G25" s="188">
        <f t="shared" ca="1" si="2"/>
        <v>20746.434743730784</v>
      </c>
      <c r="H25" s="185"/>
      <c r="I25" s="187">
        <f>IF($B25=Simulation!$D$6,Cot_droits!$M$11,IF($B25&gt;Simulation!$D$6,Retraite!$I24*(1+LOOKUP($A25,Barèmes!$AB$65:$AB$148,Barèmes!$U$65:$U$148)),0))</f>
        <v>68976.209061070767</v>
      </c>
      <c r="J25" s="184"/>
      <c r="K25" s="182">
        <f t="shared" ca="1" si="10"/>
        <v>89722.643804801555</v>
      </c>
      <c r="L25" s="189">
        <f t="shared" si="3"/>
        <v>68976.209061070767</v>
      </c>
      <c r="M25" s="189">
        <f t="shared" ca="1" si="4"/>
        <v>20746.434743730784</v>
      </c>
      <c r="N25" s="191">
        <f t="shared" ca="1" si="5"/>
        <v>81350.418871127302</v>
      </c>
      <c r="O25" s="327">
        <f ca="1">N25+IF(OR(S25=9.1%,S25=7.4%),K25*LOOKUP($A25,Barèmes!$CG$65:$CG$148,Barèmes!$CE$65:$CE$148),0)</f>
        <v>84221.543472880949</v>
      </c>
      <c r="P25" s="183">
        <f t="shared" ca="1" si="6"/>
        <v>62699.374036513327</v>
      </c>
      <c r="Q25" s="183">
        <f t="shared" ca="1" si="7"/>
        <v>18651.044834613975</v>
      </c>
      <c r="R25" s="277">
        <f ca="1">0.9*(O24+LOOKUP(A24,Salaires!$A$7:$A$58,Salaires!$I$7:$I$58))</f>
        <v>74468.431027807339</v>
      </c>
      <c r="S25" s="280">
        <f ca="1">IF($C25=1,IF(R25&lt;LOOKUP($A25,Barèmes!$AB$65:$AB$148,Barèmes!$BM$65:$BM$148),LOOKUP($A25,Barèmes!$AB$65:$AB$148,Barèmes!$BQ$65:$BQ$148),IF(R25&lt;LOOKUP($A25,Barèmes!$AB$65:$AB$148,Barèmes!$BN$65:$BN$148),LOOKUP($A25,Barèmes!$AB$65:$AB$148,Barèmes!$BR$65:$BR$148),IF(R25&lt;LOOKUP($A25,Barèmes!$AB$65:$AB$148,Barèmes!$BO$65:$BO$148),LOOKUP($A25,Barèmes!$AB$65:$AB$148,Barèmes!$BS$65:$BS$148),LOOKUP($A25,Barèmes!$AB$65:$AB$148,Barèmes!$BT$65:$BT$148)))),IF($C25=2,IF(R25&lt;LOOKUP($A25,Barèmes!$AB$65:$AB$148,Barèmes!$BW$65:$BW$148),LOOKUP($A25,Barèmes!$AB$65:$AB$148,Barèmes!$CA$65:$CA$148),IF(R25&lt;LOOKUP($A25,Barèmes!$AB$65:$AB$148,Barèmes!$BX$65:$BX$148),LOOKUP($A25,Barèmes!$AB$65:$AB$148,Barèmes!$CB$65:$CB$148),IF(R25&lt;LOOKUP($A25,Barèmes!$AB$65:$AB$148,Barèmes!$BY$65:$BY$148),LOOKUP($A25,Barèmes!$AB$65:$AB$148,Barèmes!$CC$65:$CC166),LOOKUP($A25,Barèmes!$AB$65:$AB$148,Barèmes!$CD$65:$CD$148))))))</f>
        <v>9.0999999999999998E-2</v>
      </c>
      <c r="T25" s="280">
        <f t="shared" ca="1" si="8"/>
        <v>0.10099999999999999</v>
      </c>
      <c r="U25" s="274">
        <f t="shared" ca="1" si="9"/>
        <v>9.3312285267570433E-2</v>
      </c>
    </row>
    <row r="26" spans="1:24" s="5" customFormat="1" ht="18.75" x14ac:dyDescent="0.3">
      <c r="A26" s="15">
        <f>B26+Simulation!$D$4</f>
        <v>2079</v>
      </c>
      <c r="B26" s="19">
        <v>79</v>
      </c>
      <c r="C26" s="95">
        <v>1</v>
      </c>
      <c r="D26" s="20"/>
      <c r="E26" s="255">
        <f ca="1">IF(AND(Cot_droits!$J$6&lt;1,$B26&gt;=Simulation!$D$6,$B26&lt;Simulation!$D$6+3,$B26&lt;Simulation!$D$27),Cot_droits!$J$6,IF(AND(Cot_droits!$J$6&gt;1,$B26=Simulation!$D$6),Cot_droits!$J$6,1))</f>
        <v>1</v>
      </c>
      <c r="F26" s="187">
        <f>IF($B26=Simulation!$D$6,Cot_droits!$J$11,IF($B26&gt;Simulation!$D$6,Retraite!$F25*(LOOKUP($A26,Barèmes!$AB$65:$AB$148,Barèmes!$BG$65:$BG$148)/LOOKUP($A26-1,Barèmes!$AB$65:$AB$148,Barèmes!$BG$65:$BG$148)),0))</f>
        <v>21143.262174291493</v>
      </c>
      <c r="G26" s="188">
        <f t="shared" ca="1" si="2"/>
        <v>21143.262174291493</v>
      </c>
      <c r="H26" s="185"/>
      <c r="I26" s="187">
        <f>IF($B26=Simulation!$D$6,Cot_droits!$M$11,IF($B26&gt;Simulation!$D$6,Retraite!$I25*(1+LOOKUP($A26,Barèmes!$AB$65:$AB$148,Barèmes!$U$65:$U$148)),0))</f>
        <v>70183.292719639518</v>
      </c>
      <c r="J26" s="184"/>
      <c r="K26" s="182">
        <f t="shared" ca="1" si="10"/>
        <v>91326.55489393101</v>
      </c>
      <c r="L26" s="189">
        <f t="shared" si="3"/>
        <v>70183.292719639518</v>
      </c>
      <c r="M26" s="189">
        <f t="shared" ca="1" si="4"/>
        <v>21143.262174291493</v>
      </c>
      <c r="N26" s="191">
        <f t="shared" ca="1" si="5"/>
        <v>82804.405776840373</v>
      </c>
      <c r="O26" s="327">
        <f ca="1">N26+IF(OR(S26=9.1%,S26=7.4%),K26*LOOKUP($A26,Barèmes!$CG$65:$CG$148,Barèmes!$CE$65:$CE$148),0)</f>
        <v>85726.855533446171</v>
      </c>
      <c r="P26" s="183">
        <f t="shared" ca="1" si="6"/>
        <v>63796.613082152326</v>
      </c>
      <c r="Q26" s="183">
        <f t="shared" ca="1" si="7"/>
        <v>19007.792694688051</v>
      </c>
      <c r="R26" s="277">
        <f ca="1">0.9*(O25+LOOKUP(A25,Salaires!$A$7:$A$58,Salaires!$I$7:$I$58))</f>
        <v>75799.389125592861</v>
      </c>
      <c r="S26" s="280">
        <f ca="1">IF($C26=1,IF(R26&lt;LOOKUP($A26,Barèmes!$AB$65:$AB$148,Barèmes!$BM$65:$BM$148),LOOKUP($A26,Barèmes!$AB$65:$AB$148,Barèmes!$BQ$65:$BQ$148),IF(R26&lt;LOOKUP($A26,Barèmes!$AB$65:$AB$148,Barèmes!$BN$65:$BN$148),LOOKUP($A26,Barèmes!$AB$65:$AB$148,Barèmes!$BR$65:$BR$148),IF(R26&lt;LOOKUP($A26,Barèmes!$AB$65:$AB$148,Barèmes!$BO$65:$BO$148),LOOKUP($A26,Barèmes!$AB$65:$AB$148,Barèmes!$BS$65:$BS$148),LOOKUP($A26,Barèmes!$AB$65:$AB$148,Barèmes!$BT$65:$BT$148)))),IF($C26=2,IF(R26&lt;LOOKUP($A26,Barèmes!$AB$65:$AB$148,Barèmes!$BW$65:$BW$148),LOOKUP($A26,Barèmes!$AB$65:$AB$148,Barèmes!$CA$65:$CA$148),IF(R26&lt;LOOKUP($A26,Barèmes!$AB$65:$AB$148,Barèmes!$BX$65:$BX$148),LOOKUP($A26,Barèmes!$AB$65:$AB$148,Barèmes!$CB$65:$CB$148),IF(R26&lt;LOOKUP($A26,Barèmes!$AB$65:$AB$148,Barèmes!$BY$65:$BY$148),LOOKUP($A26,Barèmes!$AB$65:$AB$148,Barèmes!$CC$65:$CC167),LOOKUP($A26,Barèmes!$AB$65:$AB$148,Barèmes!$CD$65:$CD$148))))))</f>
        <v>9.0999999999999998E-2</v>
      </c>
      <c r="T26" s="280">
        <f t="shared" ca="1" si="8"/>
        <v>0.10099999999999999</v>
      </c>
      <c r="U26" s="274">
        <f t="shared" ca="1" si="9"/>
        <v>9.3315127533152645E-2</v>
      </c>
    </row>
    <row r="27" spans="1:24" s="5" customFormat="1" ht="18.75" x14ac:dyDescent="0.3">
      <c r="A27" s="15">
        <f>B27+Simulation!$D$4</f>
        <v>2080</v>
      </c>
      <c r="B27" s="19">
        <v>80</v>
      </c>
      <c r="C27" s="95">
        <v>1</v>
      </c>
      <c r="D27" s="20"/>
      <c r="E27" s="255">
        <f ca="1">IF(AND(Cot_droits!$J$6&lt;1,$B27&gt;=Simulation!$D$6,$B27&lt;Simulation!$D$6+3,$B27&lt;Simulation!$D$27),Cot_droits!$J$6,IF(AND(Cot_droits!$J$6&gt;1,$B27=Simulation!$D$6),Cot_droits!$J$6,1))</f>
        <v>1</v>
      </c>
      <c r="F27" s="187">
        <f>IF($B27=Simulation!$D$6,Cot_droits!$J$11,IF($B27&gt;Simulation!$D$6,Retraite!$F26*(LOOKUP($A27,Barèmes!$AB$65:$AB$148,Barèmes!$BG$65:$BG$148)/LOOKUP($A27-1,Barèmes!$AB$65:$AB$148,Barèmes!$BG$65:$BG$148)),0))</f>
        <v>21547.679921530253</v>
      </c>
      <c r="G27" s="188">
        <f t="shared" ca="1" si="2"/>
        <v>21547.679921530253</v>
      </c>
      <c r="H27" s="185"/>
      <c r="I27" s="187">
        <f>IF($B27=Simulation!$D$6,Cot_droits!$M$11,IF($B27&gt;Simulation!$D$6,Retraite!$I26*(1+LOOKUP($A27,Barèmes!$AB$65:$AB$148,Barèmes!$U$65:$U$148)),0))</f>
        <v>71411.500342233208</v>
      </c>
      <c r="J27" s="184"/>
      <c r="K27" s="182">
        <f t="shared" ca="1" si="10"/>
        <v>92959.180263763468</v>
      </c>
      <c r="L27" s="189">
        <f t="shared" si="3"/>
        <v>71411.500342233208</v>
      </c>
      <c r="M27" s="189">
        <f t="shared" ca="1" si="4"/>
        <v>21547.679921530253</v>
      </c>
      <c r="N27" s="191">
        <f t="shared" ca="1" si="5"/>
        <v>84284.418060545693</v>
      </c>
      <c r="O27" s="327">
        <f ca="1">N27+IF(OR(S27=9.1%,S27=7.4%),K27*LOOKUP($A27,Barèmes!$CG$65:$CG$148,Barèmes!$CE$65:$CE$148),0)</f>
        <v>87259.111828986119</v>
      </c>
      <c r="P27" s="183">
        <f t="shared" ca="1" si="6"/>
        <v>64913.053811089987</v>
      </c>
      <c r="Q27" s="183">
        <f t="shared" ca="1" si="7"/>
        <v>19371.364249455699</v>
      </c>
      <c r="R27" s="277">
        <f ca="1">0.9*(O26+LOOKUP(A26,Salaires!$A$7:$A$58,Salaires!$I$7:$I$58))</f>
        <v>77154.169980101549</v>
      </c>
      <c r="S27" s="280">
        <f ca="1">IF($C27=1,IF(R27&lt;LOOKUP($A27,Barèmes!$AB$65:$AB$148,Barèmes!$BM$65:$BM$148),LOOKUP($A27,Barèmes!$AB$65:$AB$148,Barèmes!$BQ$65:$BQ$148),IF(R27&lt;LOOKUP($A27,Barèmes!$AB$65:$AB$148,Barèmes!$BN$65:$BN$148),LOOKUP($A27,Barèmes!$AB$65:$AB$148,Barèmes!$BR$65:$BR$148),IF(R27&lt;LOOKUP($A27,Barèmes!$AB$65:$AB$148,Barèmes!$BO$65:$BO$148),LOOKUP($A27,Barèmes!$AB$65:$AB$148,Barèmes!$BS$65:$BS$148),LOOKUP($A27,Barèmes!$AB$65:$AB$148,Barèmes!$BT$65:$BT$148)))),IF($C27=2,IF(R27&lt;LOOKUP($A27,Barèmes!$AB$65:$AB$148,Barèmes!$BW$65:$BW$148),LOOKUP($A27,Barèmes!$AB$65:$AB$148,Barèmes!$CA$65:$CA$148),IF(R27&lt;LOOKUP($A27,Barèmes!$AB$65:$AB$148,Barèmes!$BX$65:$BX$148),LOOKUP($A27,Barèmes!$AB$65:$AB$148,Barèmes!$CB$65:$CB$148),IF(R27&lt;LOOKUP($A27,Barèmes!$AB$65:$AB$148,Barèmes!$BY$65:$BY$148),LOOKUP($A27,Barèmes!$AB$65:$AB$148,Barèmes!$CC$65:$CC168),LOOKUP($A27,Barèmes!$AB$65:$AB$148,Barèmes!$CD$65:$CD$148))))))</f>
        <v>9.0999999999999998E-2</v>
      </c>
      <c r="T27" s="280">
        <f t="shared" ca="1" si="8"/>
        <v>0.10099999999999999</v>
      </c>
      <c r="U27" s="274">
        <f t="shared" ca="1" si="9"/>
        <v>9.3317972239039787E-2</v>
      </c>
    </row>
    <row r="28" spans="1:24" s="5" customFormat="1" ht="18.75" x14ac:dyDescent="0.3">
      <c r="A28" s="15">
        <f>B28+Simulation!$D$4</f>
        <v>2081</v>
      </c>
      <c r="B28" s="19">
        <v>81</v>
      </c>
      <c r="C28" s="95">
        <v>1</v>
      </c>
      <c r="D28" s="20"/>
      <c r="E28" s="255">
        <f ca="1">IF(AND(Cot_droits!$J$6&lt;1,$B28&gt;=Simulation!$D$6,$B28&lt;Simulation!$D$6+3,$B28&lt;Simulation!$D$27),Cot_droits!$J$6,IF(AND(Cot_droits!$J$6&gt;1,$B28=Simulation!$D$6),Cot_droits!$J$6,1))</f>
        <v>1</v>
      </c>
      <c r="F28" s="187">
        <f>IF($B28=Simulation!$D$6,Cot_droits!$J$11,IF($B28&gt;Simulation!$D$6,Retraite!$F27*(LOOKUP($A28,Barèmes!$AB$65:$AB$148,Barèmes!$BG$65:$BG$148)/LOOKUP($A28-1,Barèmes!$AB$65:$AB$148,Barèmes!$BG$65:$BG$148)),0))</f>
        <v>21959.833169229321</v>
      </c>
      <c r="G28" s="188">
        <f t="shared" ca="1" si="2"/>
        <v>21959.833169229321</v>
      </c>
      <c r="H28" s="185"/>
      <c r="I28" s="187">
        <f>IF($B28=Simulation!$D$6,Cot_droits!$M$11,IF($B28&gt;Simulation!$D$6,Retraite!$I27*(1+LOOKUP($A28,Barèmes!$AB$65:$AB$148,Barèmes!$U$65:$U$148)),0))</f>
        <v>72661.201598222295</v>
      </c>
      <c r="J28" s="184"/>
      <c r="K28" s="182">
        <f t="shared" ca="1" si="10"/>
        <v>94621.034767451609</v>
      </c>
      <c r="L28" s="189">
        <f t="shared" si="3"/>
        <v>72661.201598222295</v>
      </c>
      <c r="M28" s="189">
        <f t="shared" ca="1" si="4"/>
        <v>21959.833169229321</v>
      </c>
      <c r="N28" s="191">
        <f t="shared" ca="1" si="5"/>
        <v>85790.922271921227</v>
      </c>
      <c r="O28" s="327">
        <f ca="1">N28+IF(OR(S28=9.1%,S28=7.4%),K28*LOOKUP($A28,Barèmes!$CG$65:$CG$148,Barèmes!$CE$65:$CE$148),0)</f>
        <v>88818.795384479672</v>
      </c>
      <c r="P28" s="183">
        <f t="shared" ca="1" si="6"/>
        <v>66049.032252784062</v>
      </c>
      <c r="Q28" s="183">
        <f t="shared" ca="1" si="7"/>
        <v>19741.890019137161</v>
      </c>
      <c r="R28" s="277">
        <f ca="1">0.9*(O27+LOOKUP(A27,Salaires!$A$7:$A$58,Salaires!$I$7:$I$58))</f>
        <v>78533.200646087513</v>
      </c>
      <c r="S28" s="280">
        <f ca="1">IF($C28=1,IF(R28&lt;LOOKUP($A28,Barèmes!$AB$65:$AB$148,Barèmes!$BM$65:$BM$148),LOOKUP($A28,Barèmes!$AB$65:$AB$148,Barèmes!$BQ$65:$BQ$148),IF(R28&lt;LOOKUP($A28,Barèmes!$AB$65:$AB$148,Barèmes!$BN$65:$BN$148),LOOKUP($A28,Barèmes!$AB$65:$AB$148,Barèmes!$BR$65:$BR$148),IF(R28&lt;LOOKUP($A28,Barèmes!$AB$65:$AB$148,Barèmes!$BO$65:$BO$148),LOOKUP($A28,Barèmes!$AB$65:$AB$148,Barèmes!$BS$65:$BS$148),LOOKUP($A28,Barèmes!$AB$65:$AB$148,Barèmes!$BT$65:$BT$148)))),IF($C28=2,IF(R28&lt;LOOKUP($A28,Barèmes!$AB$65:$AB$148,Barèmes!$BW$65:$BW$148),LOOKUP($A28,Barèmes!$AB$65:$AB$148,Barèmes!$CA$65:$CA$148),IF(R28&lt;LOOKUP($A28,Barèmes!$AB$65:$AB$148,Barèmes!$BX$65:$BX$148),LOOKUP($A28,Barèmes!$AB$65:$AB$148,Barèmes!$CB$65:$CB$148),IF(R28&lt;LOOKUP($A28,Barèmes!$AB$65:$AB$148,Barèmes!$BY$65:$BY$148),LOOKUP($A28,Barèmes!$AB$65:$AB$148,Barèmes!$CC$65:$CC169),LOOKUP($A28,Barèmes!$AB$65:$AB$148,Barèmes!$CD$65:$CD$148))))))</f>
        <v>9.0999999999999998E-2</v>
      </c>
      <c r="T28" s="280">
        <f t="shared" ca="1" si="8"/>
        <v>0.10099999999999999</v>
      </c>
      <c r="U28" s="274">
        <f t="shared" ca="1" si="9"/>
        <v>9.3320819384738171E-2</v>
      </c>
    </row>
    <row r="29" spans="1:24" s="5" customFormat="1" ht="18.75" x14ac:dyDescent="0.3">
      <c r="A29" s="15">
        <f>B29+Simulation!$D$4</f>
        <v>2082</v>
      </c>
      <c r="B29" s="19">
        <v>82</v>
      </c>
      <c r="C29" s="95">
        <v>1</v>
      </c>
      <c r="D29" s="20"/>
      <c r="E29" s="255">
        <f ca="1">IF(AND(Cot_droits!$J$6&lt;1,$B29&gt;=Simulation!$D$6,$B29&lt;Simulation!$D$6+3,$B29&lt;Simulation!$D$27),Cot_droits!$J$6,IF(AND(Cot_droits!$J$6&gt;1,$B29=Simulation!$D$6),Cot_droits!$J$6,1))</f>
        <v>1</v>
      </c>
      <c r="F29" s="187">
        <f>IF($B29=Simulation!$D$6,Cot_droits!$J$11,IF($B29&gt;Simulation!$D$6,Retraite!$F28*(LOOKUP($A29,Barèmes!$AB$65:$AB$148,Barèmes!$BG$65:$BG$148)/LOOKUP($A29-1,Barèmes!$AB$65:$AB$148,Barèmes!$BG$65:$BG$148)),0))</f>
        <v>22379.869878173758</v>
      </c>
      <c r="G29" s="188">
        <f t="shared" ca="1" si="2"/>
        <v>22379.869878173758</v>
      </c>
      <c r="H29" s="185"/>
      <c r="I29" s="187">
        <f>IF($B29=Simulation!$D$6,Cot_droits!$M$11,IF($B29&gt;Simulation!$D$6,Retraite!$I28*(1+LOOKUP($A29,Barèmes!$AB$65:$AB$148,Barèmes!$U$65:$U$148)),0))</f>
        <v>73932.772626191188</v>
      </c>
      <c r="J29" s="184"/>
      <c r="K29" s="182">
        <f t="shared" ca="1" si="10"/>
        <v>96312.642504364951</v>
      </c>
      <c r="L29" s="189">
        <f t="shared" si="3"/>
        <v>73932.772626191188</v>
      </c>
      <c r="M29" s="189">
        <f t="shared" ca="1" si="4"/>
        <v>22379.869878173758</v>
      </c>
      <c r="N29" s="191">
        <f t="shared" ca="1" si="5"/>
        <v>87324.393337686008</v>
      </c>
      <c r="O29" s="327">
        <f ca="1">N29+IF(OR(S29=9.1%,S29=7.4%),K29*LOOKUP($A29,Barèmes!$CG$65:$CG$148,Barèmes!$CE$65:$CE$148),0)</f>
        <v>90406.397897825693</v>
      </c>
      <c r="P29" s="183">
        <f t="shared" ca="1" si="6"/>
        <v>67204.890317207799</v>
      </c>
      <c r="Q29" s="183">
        <f t="shared" ca="1" si="7"/>
        <v>20119.503020478209</v>
      </c>
      <c r="R29" s="277">
        <f ca="1">0.9*(O28+LOOKUP(A28,Salaires!$A$7:$A$58,Salaires!$I$7:$I$58))</f>
        <v>79936.915846031712</v>
      </c>
      <c r="S29" s="280">
        <f ca="1">IF($C29=1,IF(R29&lt;LOOKUP($A29,Barèmes!$AB$65:$AB$148,Barèmes!$BM$65:$BM$148),LOOKUP($A29,Barèmes!$AB$65:$AB$148,Barèmes!$BQ$65:$BQ$148),IF(R29&lt;LOOKUP($A29,Barèmes!$AB$65:$AB$148,Barèmes!$BN$65:$BN$148),LOOKUP($A29,Barèmes!$AB$65:$AB$148,Barèmes!$BR$65:$BR$148),IF(R29&lt;LOOKUP($A29,Barèmes!$AB$65:$AB$148,Barèmes!$BO$65:$BO$148),LOOKUP($A29,Barèmes!$AB$65:$AB$148,Barèmes!$BS$65:$BS$148),LOOKUP($A29,Barèmes!$AB$65:$AB$148,Barèmes!$BT$65:$BT$148)))),IF($C29=2,IF(R29&lt;LOOKUP($A29,Barèmes!$AB$65:$AB$148,Barèmes!$BW$65:$BW$148),LOOKUP($A29,Barèmes!$AB$65:$AB$148,Barèmes!$CA$65:$CA$148),IF(R29&lt;LOOKUP($A29,Barèmes!$AB$65:$AB$148,Barèmes!$BX$65:$BX$148),LOOKUP($A29,Barèmes!$AB$65:$AB$148,Barèmes!$CB$65:$CB$148),IF(R29&lt;LOOKUP($A29,Barèmes!$AB$65:$AB$148,Barèmes!$BY$65:$BY$148),LOOKUP($A29,Barèmes!$AB$65:$AB$148,Barèmes!$CC$65:$CC170),LOOKUP($A29,Barèmes!$AB$65:$AB$148,Barèmes!$CD$65:$CD$148))))))</f>
        <v>9.0999999999999998E-2</v>
      </c>
      <c r="T29" s="280">
        <f t="shared" ca="1" si="8"/>
        <v>0.10099999999999999</v>
      </c>
      <c r="U29" s="274">
        <f t="shared" ca="1" si="9"/>
        <v>9.3323668969747031E-2</v>
      </c>
    </row>
    <row r="30" spans="1:24" s="5" customFormat="1" ht="18.75" x14ac:dyDescent="0.3">
      <c r="A30" s="15">
        <f>B30+Simulation!$D$4</f>
        <v>2083</v>
      </c>
      <c r="B30" s="19">
        <v>83</v>
      </c>
      <c r="C30" s="95">
        <v>1</v>
      </c>
      <c r="D30" s="20"/>
      <c r="E30" s="255">
        <f ca="1">IF(AND(Cot_droits!$J$6&lt;1,$B30&gt;=Simulation!$D$6,$B30&lt;Simulation!$D$6+3,$B30&lt;Simulation!$D$27),Cot_droits!$J$6,IF(AND(Cot_droits!$J$6&gt;1,$B30=Simulation!$D$6),Cot_droits!$J$6,1))</f>
        <v>1</v>
      </c>
      <c r="F30" s="187">
        <f>IF($B30=Simulation!$D$6,Cot_droits!$J$11,IF($B30&gt;Simulation!$D$6,Retraite!$F29*(LOOKUP($A30,Barèmes!$AB$65:$AB$148,Barèmes!$BG$65:$BG$148)/LOOKUP($A30-1,Barèmes!$AB$65:$AB$148,Barèmes!$BG$65:$BG$148)),0))</f>
        <v>22807.940839268522</v>
      </c>
      <c r="G30" s="188">
        <f t="shared" ca="1" si="2"/>
        <v>22807.940839268522</v>
      </c>
      <c r="H30" s="185"/>
      <c r="I30" s="187">
        <f>IF($B30=Simulation!$D$6,Cot_droits!$M$11,IF($B30&gt;Simulation!$D$6,Retraite!$I29*(1+LOOKUP($A30,Barèmes!$AB$65:$AB$148,Barèmes!$U$65:$U$148)),0))</f>
        <v>75226.596147149539</v>
      </c>
      <c r="J30" s="184"/>
      <c r="K30" s="182">
        <f t="shared" ca="1" si="10"/>
        <v>98034.536986418068</v>
      </c>
      <c r="L30" s="189">
        <f t="shared" si="3"/>
        <v>75226.596147149539</v>
      </c>
      <c r="M30" s="189">
        <f t="shared" ca="1" si="4"/>
        <v>22807.940839268522</v>
      </c>
      <c r="N30" s="191">
        <f t="shared" ca="1" si="5"/>
        <v>88885.314712261345</v>
      </c>
      <c r="O30" s="327">
        <f ca="1">N30+IF(OR(S30=9.1%,S30=7.4%),K30*LOOKUP($A30,Barèmes!$CG$65:$CG$148,Barèmes!$CE$65:$CE$148),0)</f>
        <v>92022.419895826722</v>
      </c>
      <c r="P30" s="183">
        <f t="shared" ca="1" si="6"/>
        <v>68380.975897758937</v>
      </c>
      <c r="Q30" s="183">
        <f t="shared" ca="1" si="7"/>
        <v>20504.3388145024</v>
      </c>
      <c r="R30" s="277">
        <f ca="1">0.9*(O29+LOOKUP(A29,Salaires!$A$7:$A$58,Salaires!$I$7:$I$58))</f>
        <v>81365.758108043126</v>
      </c>
      <c r="S30" s="280">
        <f ca="1">IF($C30=1,IF(R30&lt;LOOKUP($A30,Barèmes!$AB$65:$AB$148,Barèmes!$BM$65:$BM$148),LOOKUP($A30,Barèmes!$AB$65:$AB$148,Barèmes!$BQ$65:$BQ$148),IF(R30&lt;LOOKUP($A30,Barèmes!$AB$65:$AB$148,Barèmes!$BN$65:$BN$148),LOOKUP($A30,Barèmes!$AB$65:$AB$148,Barèmes!$BR$65:$BR$148),IF(R30&lt;LOOKUP($A30,Barèmes!$AB$65:$AB$148,Barèmes!$BO$65:$BO$148),LOOKUP($A30,Barèmes!$AB$65:$AB$148,Barèmes!$BS$65:$BS$148),LOOKUP($A30,Barèmes!$AB$65:$AB$148,Barèmes!$BT$65:$BT$148)))),IF($C30=2,IF(R30&lt;LOOKUP($A30,Barèmes!$AB$65:$AB$148,Barèmes!$BW$65:$BW$148),LOOKUP($A30,Barèmes!$AB$65:$AB$148,Barèmes!$CA$65:$CA$148),IF(R30&lt;LOOKUP($A30,Barèmes!$AB$65:$AB$148,Barèmes!$BX$65:$BX$148),LOOKUP($A30,Barèmes!$AB$65:$AB$148,Barèmes!$CB$65:$CB$148),IF(R30&lt;LOOKUP($A30,Barèmes!$AB$65:$AB$148,Barèmes!$BY$65:$BY$148),LOOKUP($A30,Barèmes!$AB$65:$AB$148,Barèmes!$CC$65:$CC171),LOOKUP($A30,Barèmes!$AB$65:$AB$148,Barèmes!$CD$65:$CD$148))))))</f>
        <v>9.0999999999999998E-2</v>
      </c>
      <c r="T30" s="280">
        <f t="shared" ca="1" si="8"/>
        <v>0.10099999999999999</v>
      </c>
      <c r="U30" s="274">
        <f t="shared" ca="1" si="9"/>
        <v>9.3326520993558412E-2</v>
      </c>
    </row>
    <row r="31" spans="1:24" s="5" customFormat="1" ht="18.75" x14ac:dyDescent="0.3">
      <c r="A31" s="15">
        <f>B31+Simulation!$D$4</f>
        <v>2084</v>
      </c>
      <c r="B31" s="19">
        <v>84</v>
      </c>
      <c r="C31" s="95">
        <v>1</v>
      </c>
      <c r="D31" s="20"/>
      <c r="E31" s="255">
        <f ca="1">IF(AND(Cot_droits!$J$6&lt;1,$B31&gt;=Simulation!$D$6,$B31&lt;Simulation!$D$6+3,$B31&lt;Simulation!$D$27),Cot_droits!$J$6,IF(AND(Cot_droits!$J$6&gt;1,$B31=Simulation!$D$6),Cot_droits!$J$6,1))</f>
        <v>1</v>
      </c>
      <c r="F31" s="187">
        <f>IF($B31=Simulation!$D$6,Cot_droits!$J$11,IF($B31&gt;Simulation!$D$6,Retraite!$F30*(LOOKUP($A31,Barèmes!$AB$65:$AB$148,Barèmes!$BG$65:$BG$148)/LOOKUP($A31-1,Barèmes!$AB$65:$AB$148,Barèmes!$BG$65:$BG$148)),0))</f>
        <v>23244.199727671636</v>
      </c>
      <c r="G31" s="188">
        <f t="shared" ca="1" si="2"/>
        <v>23244.199727671636</v>
      </c>
      <c r="H31" s="185"/>
      <c r="I31" s="187">
        <f>IF($B31=Simulation!$D$6,Cot_droits!$M$11,IF($B31&gt;Simulation!$D$6,Retraite!$I30*(1+LOOKUP($A31,Barèmes!$AB$65:$AB$148,Barèmes!$U$65:$U$148)),0))</f>
        <v>76543.061579724657</v>
      </c>
      <c r="J31" s="184"/>
      <c r="K31" s="182">
        <f t="shared" ca="1" si="10"/>
        <v>99787.261307396286</v>
      </c>
      <c r="L31" s="189">
        <f t="shared" si="3"/>
        <v>76543.061579724657</v>
      </c>
      <c r="M31" s="189">
        <f t="shared" ca="1" si="4"/>
        <v>23244.199727671636</v>
      </c>
      <c r="N31" s="191">
        <f t="shared" ca="1" si="5"/>
        <v>90474.178531146521</v>
      </c>
      <c r="O31" s="327">
        <f ca="1">N31+IF(OR(S31=9.1%,S31=7.4%),K31*LOOKUP($A31,Barèmes!$CG$65:$CG$148,Barèmes!$CE$65:$CE$148),0)</f>
        <v>93667.370892983206</v>
      </c>
      <c r="P31" s="183">
        <f t="shared" ca="1" si="6"/>
        <v>69577.64297596972</v>
      </c>
      <c r="Q31" s="183">
        <f t="shared" ca="1" si="7"/>
        <v>20896.535555176801</v>
      </c>
      <c r="R31" s="277">
        <f ca="1">0.9*(O30+LOOKUP(A30,Salaires!$A$7:$A$58,Salaires!$I$7:$I$58))</f>
        <v>82820.177906244047</v>
      </c>
      <c r="S31" s="280">
        <f ca="1">IF($C31=1,IF(R31&lt;LOOKUP($A31,Barèmes!$AB$65:$AB$148,Barèmes!$BM$65:$BM$148),LOOKUP($A31,Barèmes!$AB$65:$AB$148,Barèmes!$BQ$65:$BQ$148),IF(R31&lt;LOOKUP($A31,Barèmes!$AB$65:$AB$148,Barèmes!$BN$65:$BN$148),LOOKUP($A31,Barèmes!$AB$65:$AB$148,Barèmes!$BR$65:$BR$148),IF(R31&lt;LOOKUP($A31,Barèmes!$AB$65:$AB$148,Barèmes!$BO$65:$BO$148),LOOKUP($A31,Barèmes!$AB$65:$AB$148,Barèmes!$BS$65:$BS$148),LOOKUP($A31,Barèmes!$AB$65:$AB$148,Barèmes!$BT$65:$BT$148)))),IF($C31=2,IF(R31&lt;LOOKUP($A31,Barèmes!$AB$65:$AB$148,Barèmes!$BW$65:$BW$148),LOOKUP($A31,Barèmes!$AB$65:$AB$148,Barèmes!$CA$65:$CA$148),IF(R31&lt;LOOKUP($A31,Barèmes!$AB$65:$AB$148,Barèmes!$BX$65:$BX$148),LOOKUP($A31,Barèmes!$AB$65:$AB$148,Barèmes!$CB$65:$CB$148),IF(R31&lt;LOOKUP($A31,Barèmes!$AB$65:$AB$148,Barèmes!$BY$65:$BY$148),LOOKUP($A31,Barèmes!$AB$65:$AB$148,Barèmes!$CC$65:$CC172),LOOKUP($A31,Barèmes!$AB$65:$AB$148,Barèmes!$CD$65:$CD$148))))))</f>
        <v>9.0999999999999998E-2</v>
      </c>
      <c r="T31" s="280">
        <f t="shared" ca="1" si="8"/>
        <v>0.10099999999999999</v>
      </c>
      <c r="U31" s="274">
        <f t="shared" ca="1" si="9"/>
        <v>9.3329375455657226E-2</v>
      </c>
    </row>
    <row r="32" spans="1:24" s="5" customFormat="1" ht="18.75" x14ac:dyDescent="0.3">
      <c r="A32" s="15">
        <f>B32+Simulation!$D$4</f>
        <v>2085</v>
      </c>
      <c r="B32" s="19">
        <v>85</v>
      </c>
      <c r="C32" s="95">
        <v>1</v>
      </c>
      <c r="D32" s="20"/>
      <c r="E32" s="255">
        <f ca="1">IF(AND(Cot_droits!$J$6&lt;1,$B32&gt;=Simulation!$D$6,$B32&lt;Simulation!$D$6+3,$B32&lt;Simulation!$D$27),Cot_droits!$J$6,IF(AND(Cot_droits!$J$6&gt;1,$B32=Simulation!$D$6),Cot_droits!$J$6,1))</f>
        <v>1</v>
      </c>
      <c r="F32" s="187">
        <f>IF($B32=Simulation!$D$6,Cot_droits!$J$11,IF($B32&gt;Simulation!$D$6,Retraite!$F31*(LOOKUP($A32,Barèmes!$AB$65:$AB$148,Barèmes!$BG$65:$BG$148)/LOOKUP($A32-1,Barèmes!$AB$65:$AB$148,Barèmes!$BG$65:$BG$148)),0))</f>
        <v>23688.803157962673</v>
      </c>
      <c r="G32" s="188">
        <f t="shared" ca="1" si="2"/>
        <v>23688.803157962673</v>
      </c>
      <c r="H32" s="185"/>
      <c r="I32" s="187">
        <f>IF($B32=Simulation!$D$6,Cot_droits!$M$11,IF($B32&gt;Simulation!$D$6,Retraite!$I31*(1+LOOKUP($A32,Barèmes!$AB$65:$AB$148,Barèmes!$U$65:$U$148)),0))</f>
        <v>77882.565157369841</v>
      </c>
      <c r="J32" s="184"/>
      <c r="K32" s="182">
        <f t="shared" ca="1" si="10"/>
        <v>101571.36831533251</v>
      </c>
      <c r="L32" s="189">
        <f t="shared" si="3"/>
        <v>77882.565157369841</v>
      </c>
      <c r="M32" s="189">
        <f t="shared" ca="1" si="4"/>
        <v>23688.803157962673</v>
      </c>
      <c r="N32" s="191">
        <f t="shared" ca="1" si="5"/>
        <v>92091.485767057631</v>
      </c>
      <c r="O32" s="327">
        <f ca="1">N32+IF(OR(S32=9.1%,S32=7.4%),K32*LOOKUP($A32,Barèmes!$CG$65:$CG$148,Barèmes!$CE$65:$CE$148),0)</f>
        <v>95341.769553148275</v>
      </c>
      <c r="P32" s="183">
        <f t="shared" ca="1" si="6"/>
        <v>70795.251728049188</v>
      </c>
      <c r="Q32" s="183">
        <f t="shared" ca="1" si="7"/>
        <v>21296.234039008443</v>
      </c>
      <c r="R32" s="277">
        <f ca="1">0.9*(O31+LOOKUP(A31,Salaires!$A$7:$A$58,Salaires!$I$7:$I$58))</f>
        <v>84300.63380368489</v>
      </c>
      <c r="S32" s="280">
        <f ca="1">IF($C32=1,IF(R32&lt;LOOKUP($A32,Barèmes!$AB$65:$AB$148,Barèmes!$BM$65:$BM$148),LOOKUP($A32,Barèmes!$AB$65:$AB$148,Barèmes!$BQ$65:$BQ$148),IF(R32&lt;LOOKUP($A32,Barèmes!$AB$65:$AB$148,Barèmes!$BN$65:$BN$148),LOOKUP($A32,Barèmes!$AB$65:$AB$148,Barèmes!$BR$65:$BR$148),IF(R32&lt;LOOKUP($A32,Barèmes!$AB$65:$AB$148,Barèmes!$BO$65:$BO$148),LOOKUP($A32,Barèmes!$AB$65:$AB$148,Barèmes!$BS$65:$BS$148),LOOKUP($A32,Barèmes!$AB$65:$AB$148,Barèmes!$BT$65:$BT$148)))),IF($C32=2,IF(R32&lt;LOOKUP($A32,Barèmes!$AB$65:$AB$148,Barèmes!$BW$65:$BW$148),LOOKUP($A32,Barèmes!$AB$65:$AB$148,Barèmes!$CA$65:$CA$148),IF(R32&lt;LOOKUP($A32,Barèmes!$AB$65:$AB$148,Barèmes!$BX$65:$BX$148),LOOKUP($A32,Barèmes!$AB$65:$AB$148,Barèmes!$CB$65:$CB$148),IF(R32&lt;LOOKUP($A32,Barèmes!$AB$65:$AB$148,Barèmes!$BY$65:$BY$148),LOOKUP($A32,Barèmes!$AB$65:$AB$148,Barèmes!$CC$65:$CC173),LOOKUP($A32,Barèmes!$AB$65:$AB$148,Barèmes!$CD$65:$CD$148))))))</f>
        <v>9.0999999999999998E-2</v>
      </c>
      <c r="T32" s="280">
        <f t="shared" ca="1" si="8"/>
        <v>0.10099999999999999</v>
      </c>
      <c r="U32" s="274">
        <f t="shared" ca="1" si="9"/>
        <v>9.3332232355521613E-2</v>
      </c>
    </row>
    <row r="33" spans="1:21" s="5" customFormat="1" ht="18.75" x14ac:dyDescent="0.3">
      <c r="A33" s="15">
        <f>B33+Simulation!$D$4</f>
        <v>2086</v>
      </c>
      <c r="B33" s="19">
        <v>86</v>
      </c>
      <c r="C33" s="95">
        <v>1</v>
      </c>
      <c r="D33" s="20"/>
      <c r="E33" s="255">
        <f ca="1">IF(AND(Cot_droits!$J$6&lt;1,$B33&gt;=Simulation!$D$6,$B33&lt;Simulation!$D$6+3,$B33&lt;Simulation!$D$27),Cot_droits!$J$6,IF(AND(Cot_droits!$J$6&gt;1,$B33=Simulation!$D$6),Cot_droits!$J$6,1))</f>
        <v>1</v>
      </c>
      <c r="F33" s="187">
        <f>IF($B33=Simulation!$D$6,Cot_droits!$J$11,IF($B33&gt;Simulation!$D$6,Retraite!$F32*(LOOKUP($A33,Barèmes!$AB$65:$AB$148,Barèmes!$BG$65:$BG$148)/LOOKUP($A33-1,Barèmes!$AB$65:$AB$148,Barèmes!$BG$65:$BG$148)),0))</f>
        <v>24141.910740366602</v>
      </c>
      <c r="G33" s="188">
        <f t="shared" ca="1" si="2"/>
        <v>24141.910740366602</v>
      </c>
      <c r="H33" s="185"/>
      <c r="I33" s="187">
        <f>IF($B33=Simulation!$D$6,Cot_droits!$M$11,IF($B33&gt;Simulation!$D$6,Retraite!$I32*(1+LOOKUP($A33,Barèmes!$AB$65:$AB$148,Barèmes!$U$65:$U$148)),0))</f>
        <v>79245.510047623815</v>
      </c>
      <c r="J33" s="184"/>
      <c r="K33" s="182">
        <f t="shared" ca="1" si="10"/>
        <v>103387.42078799041</v>
      </c>
      <c r="L33" s="189">
        <f t="shared" si="3"/>
        <v>79245.510047623815</v>
      </c>
      <c r="M33" s="189">
        <f t="shared" ca="1" si="4"/>
        <v>24141.910740366602</v>
      </c>
      <c r="N33" s="191">
        <f t="shared" ca="1" si="5"/>
        <v>93737.746388879634</v>
      </c>
      <c r="O33" s="327">
        <f ca="1">N33+IF(OR(S33=9.1%,S33=7.4%),K33*LOOKUP($A33,Barèmes!$CG$65:$CG$148,Barèmes!$CE$65:$CE$148),0)</f>
        <v>97046.143854095324</v>
      </c>
      <c r="P33" s="183">
        <f t="shared" ca="1" si="6"/>
        <v>72034.168633290057</v>
      </c>
      <c r="Q33" s="183">
        <f t="shared" ca="1" si="7"/>
        <v>21703.577755589577</v>
      </c>
      <c r="R33" s="277">
        <f ca="1">0.9*(O32+LOOKUP(A32,Salaires!$A$7:$A$58,Salaires!$I$7:$I$58))</f>
        <v>85807.592597833456</v>
      </c>
      <c r="S33" s="280">
        <f ca="1">IF($C33=1,IF(R33&lt;LOOKUP($A33,Barèmes!$AB$65:$AB$148,Barèmes!$BM$65:$BM$148),LOOKUP($A33,Barèmes!$AB$65:$AB$148,Barèmes!$BQ$65:$BQ$148),IF(R33&lt;LOOKUP($A33,Barèmes!$AB$65:$AB$148,Barèmes!$BN$65:$BN$148),LOOKUP($A33,Barèmes!$AB$65:$AB$148,Barèmes!$BR$65:$BR$148),IF(R33&lt;LOOKUP($A33,Barèmes!$AB$65:$AB$148,Barèmes!$BO$65:$BO$148),LOOKUP($A33,Barèmes!$AB$65:$AB$148,Barèmes!$BS$65:$BS$148),LOOKUP($A33,Barèmes!$AB$65:$AB$148,Barèmes!$BT$65:$BT$148)))),IF($C33=2,IF(R33&lt;LOOKUP($A33,Barèmes!$AB$65:$AB$148,Barèmes!$BW$65:$BW$148),LOOKUP($A33,Barèmes!$AB$65:$AB$148,Barèmes!$CA$65:$CA$148),IF(R33&lt;LOOKUP($A33,Barèmes!$AB$65:$AB$148,Barèmes!$BX$65:$BX$148),LOOKUP($A33,Barèmes!$AB$65:$AB$148,Barèmes!$CB$65:$CB$148),IF(R33&lt;LOOKUP($A33,Barèmes!$AB$65:$AB$148,Barèmes!$BY$65:$BY$148),LOOKUP($A33,Barèmes!$AB$65:$AB$148,Barèmes!$CC$65:$CC174),LOOKUP($A33,Barèmes!$AB$65:$AB$148,Barèmes!$CD$65:$CD$148))))))</f>
        <v>9.0999999999999998E-2</v>
      </c>
      <c r="T33" s="280">
        <f t="shared" ca="1" si="8"/>
        <v>0.10099999999999999</v>
      </c>
      <c r="U33" s="274">
        <f t="shared" ca="1" si="9"/>
        <v>9.333509169262201E-2</v>
      </c>
    </row>
    <row r="34" spans="1:21" s="5" customFormat="1" ht="18.75" x14ac:dyDescent="0.3">
      <c r="A34" s="15">
        <f>B34+Simulation!$D$4</f>
        <v>2087</v>
      </c>
      <c r="B34" s="19">
        <v>87</v>
      </c>
      <c r="C34" s="95">
        <v>1</v>
      </c>
      <c r="D34" s="20"/>
      <c r="E34" s="255">
        <f ca="1">IF(AND(Cot_droits!$J$6&lt;1,$B34&gt;=Simulation!$D$6,$B34&lt;Simulation!$D$6+3,$B34&lt;Simulation!$D$27),Cot_droits!$J$6,IF(AND(Cot_droits!$J$6&gt;1,$B34=Simulation!$D$6),Cot_droits!$J$6,1))</f>
        <v>1</v>
      </c>
      <c r="F34" s="187">
        <f>IF($B34=Simulation!$D$6,Cot_droits!$J$11,IF($B34&gt;Simulation!$D$6,Retraite!$F33*(LOOKUP($A34,Barèmes!$AB$65:$AB$148,Barèmes!$BG$65:$BG$148)/LOOKUP($A34-1,Barèmes!$AB$65:$AB$148,Barèmes!$BG$65:$BG$148)),0))</f>
        <v>24603.685138052962</v>
      </c>
      <c r="G34" s="188">
        <f t="shared" ca="1" si="2"/>
        <v>24603.685138052962</v>
      </c>
      <c r="H34" s="185"/>
      <c r="I34" s="187">
        <f>IF($B34=Simulation!$D$6,Cot_droits!$M$11,IF($B34&gt;Simulation!$D$6,Retraite!$I33*(1+LOOKUP($A34,Barèmes!$AB$65:$AB$148,Barèmes!$U$65:$U$148)),0))</f>
        <v>80632.30647345724</v>
      </c>
      <c r="J34" s="184"/>
      <c r="K34" s="182">
        <f t="shared" ca="1" si="10"/>
        <v>105235.9916115102</v>
      </c>
      <c r="L34" s="189">
        <f t="shared" si="3"/>
        <v>80632.30647345724</v>
      </c>
      <c r="M34" s="189">
        <f t="shared" ca="1" si="4"/>
        <v>24603.685138052962</v>
      </c>
      <c r="N34" s="191">
        <f t="shared" ca="1" si="5"/>
        <v>95413.479523482238</v>
      </c>
      <c r="O34" s="327">
        <f ca="1">N34+IF(OR(S34=9.1%,S34=7.4%),K34*LOOKUP($A34,Barèmes!$CG$65:$CG$148,Barèmes!$CE$65:$CE$148),0)</f>
        <v>98781.031255050562</v>
      </c>
      <c r="P34" s="183">
        <f t="shared" ca="1" si="6"/>
        <v>73294.766584372628</v>
      </c>
      <c r="Q34" s="183">
        <f t="shared" ca="1" si="7"/>
        <v>22118.712939109613</v>
      </c>
      <c r="R34" s="277">
        <f ca="1">0.9*(O33+LOOKUP(A33,Salaires!$A$7:$A$58,Salaires!$I$7:$I$58))</f>
        <v>87341.529468685796</v>
      </c>
      <c r="S34" s="280">
        <f ca="1">IF($C34=1,IF(R34&lt;LOOKUP($A34,Barèmes!$AB$65:$AB$148,Barèmes!$BM$65:$BM$148),LOOKUP($A34,Barèmes!$AB$65:$AB$148,Barèmes!$BQ$65:$BQ$148),IF(R34&lt;LOOKUP($A34,Barèmes!$AB$65:$AB$148,Barèmes!$BN$65:$BN$148),LOOKUP($A34,Barèmes!$AB$65:$AB$148,Barèmes!$BR$65:$BR$148),IF(R34&lt;LOOKUP($A34,Barèmes!$AB$65:$AB$148,Barèmes!$BO$65:$BO$148),LOOKUP($A34,Barèmes!$AB$65:$AB$148,Barèmes!$BS$65:$BS$148),LOOKUP($A34,Barèmes!$AB$65:$AB$148,Barèmes!$BT$65:$BT$148)))),IF($C34=2,IF(R34&lt;LOOKUP($A34,Barèmes!$AB$65:$AB$148,Barèmes!$BW$65:$BW$148),LOOKUP($A34,Barèmes!$AB$65:$AB$148,Barèmes!$CA$65:$CA$148),IF(R34&lt;LOOKUP($A34,Barèmes!$AB$65:$AB$148,Barèmes!$BX$65:$BX$148),LOOKUP($A34,Barèmes!$AB$65:$AB$148,Barèmes!$CB$65:$CB$148),IF(R34&lt;LOOKUP($A34,Barèmes!$AB$65:$AB$148,Barèmes!$BY$65:$BY$148),LOOKUP($A34,Barèmes!$AB$65:$AB$148,Barèmes!$CC$65:$CC175),LOOKUP($A34,Barèmes!$AB$65:$AB$148,Barèmes!$CD$65:$CD$148))))))</f>
        <v>9.0999999999999998E-2</v>
      </c>
      <c r="T34" s="280">
        <f t="shared" ca="1" si="8"/>
        <v>0.10099999999999999</v>
      </c>
      <c r="U34" s="274">
        <f t="shared" ca="1" si="9"/>
        <v>9.3337953466422402E-2</v>
      </c>
    </row>
    <row r="35" spans="1:21" s="5" customFormat="1" ht="18.75" x14ac:dyDescent="0.3">
      <c r="A35" s="15">
        <f>B35+Simulation!$D$4</f>
        <v>2088</v>
      </c>
      <c r="B35" s="19">
        <v>88</v>
      </c>
      <c r="C35" s="95">
        <v>1</v>
      </c>
      <c r="D35" s="20"/>
      <c r="E35" s="255">
        <f ca="1">IF(AND(Cot_droits!$J$6&lt;1,$B35&gt;=Simulation!$D$6,$B35&lt;Simulation!$D$6+3,$B35&lt;Simulation!$D$27),Cot_droits!$J$6,IF(AND(Cot_droits!$J$6&gt;1,$B35=Simulation!$D$6),Cot_droits!$J$6,1))</f>
        <v>1</v>
      </c>
      <c r="F35" s="187">
        <f>IF($B35=Simulation!$D$6,Cot_droits!$J$11,IF($B35&gt;Simulation!$D$6,Retraite!$F34*(LOOKUP($A35,Barèmes!$AB$65:$AB$148,Barèmes!$BG$65:$BG$148)/LOOKUP($A35-1,Barèmes!$AB$65:$AB$148,Barèmes!$BG$65:$BG$148)),0))</f>
        <v>25074.292125531068</v>
      </c>
      <c r="G35" s="188">
        <f t="shared" ca="1" si="2"/>
        <v>25074.292125531068</v>
      </c>
      <c r="H35" s="185"/>
      <c r="I35" s="187">
        <f>IF($B35=Simulation!$D$6,Cot_droits!$M$11,IF($B35&gt;Simulation!$D$6,Retraite!$I34*(1+LOOKUP($A35,Barèmes!$AB$65:$AB$148,Barèmes!$U$65:$U$148)),0))</f>
        <v>82043.37183674275</v>
      </c>
      <c r="J35" s="184"/>
      <c r="K35" s="182">
        <f t="shared" ca="1" si="10"/>
        <v>107117.66396227381</v>
      </c>
      <c r="L35" s="189">
        <f t="shared" si="3"/>
        <v>82043.37183674275</v>
      </c>
      <c r="M35" s="189">
        <f t="shared" ca="1" si="4"/>
        <v>25074.292125531068</v>
      </c>
      <c r="N35" s="191">
        <f t="shared" ca="1" si="5"/>
        <v>97119.213620451585</v>
      </c>
      <c r="O35" s="327">
        <f ca="1">N35+IF(OR(S35=9.1%,S35=7.4%),K35*LOOKUP($A35,Barèmes!$CG$65:$CG$148,Barèmes!$CE$65:$CE$148),0)</f>
        <v>100546.97886724435</v>
      </c>
      <c r="P35" s="183">
        <f t="shared" ca="1" si="6"/>
        <v>74577.424999599156</v>
      </c>
      <c r="Q35" s="183">
        <f t="shared" ca="1" si="7"/>
        <v>22541.788620852432</v>
      </c>
      <c r="R35" s="277">
        <f ca="1">0.9*(O34+LOOKUP(A34,Salaires!$A$7:$A$58,Salaires!$I$7:$I$58))</f>
        <v>88902.928129545515</v>
      </c>
      <c r="S35" s="280">
        <f ca="1">IF($C35=1,IF(R35&lt;LOOKUP($A35,Barèmes!$AB$65:$AB$148,Barèmes!$BM$65:$BM$148),LOOKUP($A35,Barèmes!$AB$65:$AB$148,Barèmes!$BQ$65:$BQ$148),IF(R35&lt;LOOKUP($A35,Barèmes!$AB$65:$AB$148,Barèmes!$BN$65:$BN$148),LOOKUP($A35,Barèmes!$AB$65:$AB$148,Barèmes!$BR$65:$BR$148),IF(R35&lt;LOOKUP($A35,Barèmes!$AB$65:$AB$148,Barèmes!$BO$65:$BO$148),LOOKUP($A35,Barèmes!$AB$65:$AB$148,Barèmes!$BS$65:$BS$148),LOOKUP($A35,Barèmes!$AB$65:$AB$148,Barèmes!$BT$65:$BT$148)))),IF($C35=2,IF(R35&lt;LOOKUP($A35,Barèmes!$AB$65:$AB$148,Barèmes!$BW$65:$BW$148),LOOKUP($A35,Barèmes!$AB$65:$AB$148,Barèmes!$CA$65:$CA$148),IF(R35&lt;LOOKUP($A35,Barèmes!$AB$65:$AB$148,Barèmes!$BX$65:$BX$148),LOOKUP($A35,Barèmes!$AB$65:$AB$148,Barèmes!$CB$65:$CB$148),IF(R35&lt;LOOKUP($A35,Barèmes!$AB$65:$AB$148,Barèmes!$BY$65:$BY$148),LOOKUP($A35,Barèmes!$AB$65:$AB$148,Barèmes!$CC$65:$CC176),LOOKUP($A35,Barèmes!$AB$65:$AB$148,Barèmes!$CD$65:$CD$148))))))</f>
        <v>9.0999999999999998E-2</v>
      </c>
      <c r="T35" s="280">
        <f t="shared" ca="1" si="8"/>
        <v>0.10099999999999999</v>
      </c>
      <c r="U35" s="274">
        <f t="shared" ca="1" si="9"/>
        <v>9.3340817676378973E-2</v>
      </c>
    </row>
    <row r="36" spans="1:21" s="5" customFormat="1" ht="18.75" x14ac:dyDescent="0.3">
      <c r="A36" s="15">
        <f>B36+Simulation!$D$4</f>
        <v>2089</v>
      </c>
      <c r="B36" s="19">
        <v>89</v>
      </c>
      <c r="C36" s="95">
        <v>1</v>
      </c>
      <c r="D36" s="20"/>
      <c r="E36" s="255">
        <f ca="1">IF(AND(Cot_droits!$J$6&lt;1,$B36&gt;=Simulation!$D$6,$B36&lt;Simulation!$D$6+3,$B36&lt;Simulation!$D$27),Cot_droits!$J$6,IF(AND(Cot_droits!$J$6&gt;1,$B36=Simulation!$D$6),Cot_droits!$J$6,1))</f>
        <v>1</v>
      </c>
      <c r="F36" s="187">
        <f>IF($B36=Simulation!$D$6,Cot_droits!$J$11,IF($B36&gt;Simulation!$D$6,Retraite!$F35*(LOOKUP($A36,Barèmes!$AB$65:$AB$148,Barèmes!$BG$65:$BG$148)/LOOKUP($A36-1,Barèmes!$AB$65:$AB$148,Barèmes!$BG$65:$BG$148)),0))</f>
        <v>25553.900648162162</v>
      </c>
      <c r="G36" s="188">
        <f t="shared" ca="1" si="2"/>
        <v>25553.900648162162</v>
      </c>
      <c r="H36" s="185"/>
      <c r="I36" s="187">
        <f>IF($B36=Simulation!$D$6,Cot_droits!$M$11,IF($B36&gt;Simulation!$D$6,Retraite!$I35*(1+LOOKUP($A36,Barèmes!$AB$65:$AB$148,Barèmes!$U$65:$U$148)),0))</f>
        <v>83479.130843885752</v>
      </c>
      <c r="J36" s="184"/>
      <c r="K36" s="182">
        <f t="shared" ca="1" si="10"/>
        <v>109033.03149204791</v>
      </c>
      <c r="L36" s="189">
        <f t="shared" si="3"/>
        <v>83479.130843885752</v>
      </c>
      <c r="M36" s="189">
        <f t="shared" ca="1" si="4"/>
        <v>25553.900648162162</v>
      </c>
      <c r="N36" s="191">
        <f t="shared" ca="1" si="5"/>
        <v>98855.486619789939</v>
      </c>
      <c r="O36" s="327">
        <f ca="1">N36+IF(OR(S36=9.1%,S36=7.4%),K36*LOOKUP($A36,Barèmes!$CG$65:$CG$148,Barèmes!$CE$65:$CE$148),0)</f>
        <v>102344.54362753547</v>
      </c>
      <c r="P36" s="183">
        <f t="shared" ca="1" si="6"/>
        <v>75882.529937092157</v>
      </c>
      <c r="Q36" s="183">
        <f t="shared" ca="1" si="7"/>
        <v>22972.956682697783</v>
      </c>
      <c r="R36" s="277">
        <f ca="1">0.9*(O35+LOOKUP(A35,Salaires!$A$7:$A$58,Salaires!$I$7:$I$58))</f>
        <v>90492.280980519921</v>
      </c>
      <c r="S36" s="280">
        <f ca="1">IF($C36=1,IF(R36&lt;LOOKUP($A36,Barèmes!$AB$65:$AB$148,Barèmes!$BM$65:$BM$148),LOOKUP($A36,Barèmes!$AB$65:$AB$148,Barèmes!$BQ$65:$BQ$148),IF(R36&lt;LOOKUP($A36,Barèmes!$AB$65:$AB$148,Barèmes!$BN$65:$BN$148),LOOKUP($A36,Barèmes!$AB$65:$AB$148,Barèmes!$BR$65:$BR$148),IF(R36&lt;LOOKUP($A36,Barèmes!$AB$65:$AB$148,Barèmes!$BO$65:$BO$148),LOOKUP($A36,Barèmes!$AB$65:$AB$148,Barèmes!$BS$65:$BS$148),LOOKUP($A36,Barèmes!$AB$65:$AB$148,Barèmes!$BT$65:$BT$148)))),IF($C36=2,IF(R36&lt;LOOKUP($A36,Barèmes!$AB$65:$AB$148,Barèmes!$BW$65:$BW$148),LOOKUP($A36,Barèmes!$AB$65:$AB$148,Barèmes!$CA$65:$CA$148),IF(R36&lt;LOOKUP($A36,Barèmes!$AB$65:$AB$148,Barèmes!$BX$65:$BX$148),LOOKUP($A36,Barèmes!$AB$65:$AB$148,Barèmes!$CB$65:$CB$148),IF(R36&lt;LOOKUP($A36,Barèmes!$AB$65:$AB$148,Barèmes!$BY$65:$BY$148),LOOKUP($A36,Barèmes!$AB$65:$AB$148,Barèmes!$CC$65:$CC177),LOOKUP($A36,Barèmes!$AB$65:$AB$148,Barèmes!$CD$65:$CD$148))))))</f>
        <v>9.0999999999999998E-2</v>
      </c>
      <c r="T36" s="280">
        <f t="shared" ca="1" si="8"/>
        <v>0.10099999999999999</v>
      </c>
      <c r="U36" s="274">
        <f t="shared" ca="1" si="9"/>
        <v>9.3343684321941026E-2</v>
      </c>
    </row>
    <row r="37" spans="1:21" s="5" customFormat="1" ht="18.75" x14ac:dyDescent="0.3">
      <c r="A37" s="15">
        <f>B37+Simulation!$D$4</f>
        <v>2090</v>
      </c>
      <c r="B37" s="19">
        <v>90</v>
      </c>
      <c r="C37" s="95">
        <v>1</v>
      </c>
      <c r="D37" s="20"/>
      <c r="E37" s="255">
        <f ca="1">IF(AND(Cot_droits!$J$6&lt;1,$B37&gt;=Simulation!$D$6,$B37&lt;Simulation!$D$6+3,$B37&lt;Simulation!$D$27),Cot_droits!$J$6,IF(AND(Cot_droits!$J$6&gt;1,$B37=Simulation!$D$6),Cot_droits!$J$6,1))</f>
        <v>1</v>
      </c>
      <c r="F37" s="187">
        <f>IF($B37=Simulation!$D$6,Cot_droits!$J$11,IF($B37&gt;Simulation!$D$6,Retraite!$F36*(LOOKUP($A37,Barèmes!$AB$65:$AB$148,Barèmes!$BG$65:$BG$148)/LOOKUP($A37-1,Barèmes!$AB$65:$AB$148,Barèmes!$BG$65:$BG$148)),0))</f>
        <v>26042.682882809884</v>
      </c>
      <c r="G37" s="188">
        <f t="shared" ca="1" si="2"/>
        <v>26042.682882809884</v>
      </c>
      <c r="H37" s="185"/>
      <c r="I37" s="187">
        <f>IF($B37=Simulation!$D$6,Cot_droits!$M$11,IF($B37&gt;Simulation!$D$6,Retraite!$I36*(1+LOOKUP($A37,Barèmes!$AB$65:$AB$148,Barèmes!$U$65:$U$148)),0))</f>
        <v>84940.015633653762</v>
      </c>
      <c r="J37" s="184"/>
      <c r="K37" s="182">
        <f t="shared" ca="1" si="10"/>
        <v>110982.69851646364</v>
      </c>
      <c r="L37" s="189">
        <f t="shared" si="3"/>
        <v>84940.015633653762</v>
      </c>
      <c r="M37" s="189">
        <f t="shared" ca="1" si="4"/>
        <v>26042.682882809884</v>
      </c>
      <c r="N37" s="191">
        <f t="shared" ca="1" si="5"/>
        <v>100622.84612263736</v>
      </c>
      <c r="O37" s="327">
        <f ca="1">N37+IF(OR(S37=9.1%,S37=7.4%),K37*LOOKUP($A37,Barèmes!$CG$65:$CG$148,Barèmes!$CE$65:$CE$148),0)</f>
        <v>104174.2924751642</v>
      </c>
      <c r="P37" s="183">
        <f t="shared" ca="1" si="6"/>
        <v>77210.474210991277</v>
      </c>
      <c r="Q37" s="183">
        <f t="shared" ca="1" si="7"/>
        <v>23412.371911646085</v>
      </c>
      <c r="R37" s="277">
        <f ca="1">0.9*(O36+LOOKUP(A36,Salaires!$A$7:$A$58,Salaires!$I$7:$I$58))</f>
        <v>92110.089264781927</v>
      </c>
      <c r="S37" s="280">
        <f ca="1">IF($C37=1,IF(R37&lt;LOOKUP($A37,Barèmes!$AB$65:$AB$148,Barèmes!$BM$65:$BM$148),LOOKUP($A37,Barèmes!$AB$65:$AB$148,Barèmes!$BQ$65:$BQ$148),IF(R37&lt;LOOKUP($A37,Barèmes!$AB$65:$AB$148,Barèmes!$BN$65:$BN$148),LOOKUP($A37,Barèmes!$AB$65:$AB$148,Barèmes!$BR$65:$BR$148),IF(R37&lt;LOOKUP($A37,Barèmes!$AB$65:$AB$148,Barèmes!$BO$65:$BO$148),LOOKUP($A37,Barèmes!$AB$65:$AB$148,Barèmes!$BS$65:$BS$148),LOOKUP($A37,Barèmes!$AB$65:$AB$148,Barèmes!$BT$65:$BT$148)))),IF($C37=2,IF(R37&lt;LOOKUP($A37,Barèmes!$AB$65:$AB$148,Barèmes!$BW$65:$BW$148),LOOKUP($A37,Barèmes!$AB$65:$AB$148,Barèmes!$CA$65:$CA$148),IF(R37&lt;LOOKUP($A37,Barèmes!$AB$65:$AB$148,Barèmes!$BX$65:$BX$148),LOOKUP($A37,Barèmes!$AB$65:$AB$148,Barèmes!$CB$65:$CB$148),IF(R37&lt;LOOKUP($A37,Barèmes!$AB$65:$AB$148,Barèmes!$BY$65:$BY$148),LOOKUP($A37,Barèmes!$AB$65:$AB$148,Barèmes!$CC$65:$CC178),LOOKUP($A37,Barèmes!$AB$65:$AB$148,Barèmes!$CD$65:$CD$148))))))</f>
        <v>9.0999999999999998E-2</v>
      </c>
      <c r="T37" s="280">
        <f t="shared" ca="1" si="8"/>
        <v>0.10099999999999999</v>
      </c>
      <c r="U37" s="274">
        <f t="shared" ca="1" si="9"/>
        <v>9.3346553402550908E-2</v>
      </c>
    </row>
    <row r="38" spans="1:21" s="5" customFormat="1" ht="18.75" x14ac:dyDescent="0.3">
      <c r="A38" s="15">
        <f>B38+Simulation!$D$4</f>
        <v>2091</v>
      </c>
      <c r="B38" s="19">
        <v>91</v>
      </c>
      <c r="C38" s="95">
        <v>1</v>
      </c>
      <c r="D38" s="20"/>
      <c r="E38" s="255">
        <f ca="1">IF(AND(Cot_droits!$J$6&lt;1,$B38&gt;=Simulation!$D$6,$B38&lt;Simulation!$D$6+3,$B38&lt;Simulation!$D$27),Cot_droits!$J$6,IF(AND(Cot_droits!$J$6&gt;1,$B38=Simulation!$D$6),Cot_droits!$J$6,1))</f>
        <v>1</v>
      </c>
      <c r="F38" s="187">
        <f>IF($B38=Simulation!$D$6,Cot_droits!$J$11,IF($B38&gt;Simulation!$D$6,Retraite!$F37*(LOOKUP($A38,Barèmes!$AB$65:$AB$148,Barèmes!$BG$65:$BG$148)/LOOKUP($A38-1,Barèmes!$AB$65:$AB$148,Barèmes!$BG$65:$BG$148)),0))</f>
        <v>26540.814299650836</v>
      </c>
      <c r="G38" s="188">
        <f t="shared" ca="1" si="2"/>
        <v>26540.814299650836</v>
      </c>
      <c r="H38" s="185"/>
      <c r="I38" s="187">
        <f>IF($B38=Simulation!$D$6,Cot_droits!$M$11,IF($B38&gt;Simulation!$D$6,Retraite!$I37*(1+LOOKUP($A38,Barèmes!$AB$65:$AB$148,Barèmes!$U$65:$U$148)),0))</f>
        <v>86426.465907242702</v>
      </c>
      <c r="J38" s="184"/>
      <c r="K38" s="182">
        <f t="shared" ca="1" si="10"/>
        <v>112967.28020689354</v>
      </c>
      <c r="L38" s="189">
        <f t="shared" si="3"/>
        <v>86426.465907242702</v>
      </c>
      <c r="M38" s="189">
        <f t="shared" ca="1" si="4"/>
        <v>26540.814299650836</v>
      </c>
      <c r="N38" s="191">
        <f t="shared" ca="1" si="5"/>
        <v>102421.84956506972</v>
      </c>
      <c r="O38" s="327">
        <f ca="1">N38+IF(OR(S38=9.1%,S38=7.4%),K38*LOOKUP($A38,Barèmes!$CG$65:$CG$148,Barèmes!$CE$65:$CE$148),0)</f>
        <v>106036.80253169031</v>
      </c>
      <c r="P38" s="183">
        <f t="shared" ca="1" si="6"/>
        <v>78561.657509683617</v>
      </c>
      <c r="Q38" s="183">
        <f t="shared" ca="1" si="7"/>
        <v>23860.192055386102</v>
      </c>
      <c r="R38" s="277">
        <f ca="1">0.9*(O37+LOOKUP(A37,Salaires!$A$7:$A$58,Salaires!$I$7:$I$58))</f>
        <v>93756.863227647787</v>
      </c>
      <c r="S38" s="280">
        <f ca="1">IF($C38=1,IF(R38&lt;LOOKUP($A38,Barèmes!$AB$65:$AB$148,Barèmes!$BM$65:$BM$148),LOOKUP($A38,Barèmes!$AB$65:$AB$148,Barèmes!$BQ$65:$BQ$148),IF(R38&lt;LOOKUP($A38,Barèmes!$AB$65:$AB$148,Barèmes!$BN$65:$BN$148),LOOKUP($A38,Barèmes!$AB$65:$AB$148,Barèmes!$BR$65:$BR$148),IF(R38&lt;LOOKUP($A38,Barèmes!$AB$65:$AB$148,Barèmes!$BO$65:$BO$148),LOOKUP($A38,Barèmes!$AB$65:$AB$148,Barèmes!$BS$65:$BS$148),LOOKUP($A38,Barèmes!$AB$65:$AB$148,Barèmes!$BT$65:$BT$148)))),IF($C38=2,IF(R38&lt;LOOKUP($A38,Barèmes!$AB$65:$AB$148,Barèmes!$BW$65:$BW$148),LOOKUP($A38,Barèmes!$AB$65:$AB$148,Barèmes!$CA$65:$CA$148),IF(R38&lt;LOOKUP($A38,Barèmes!$AB$65:$AB$148,Barèmes!$BX$65:$BX$148),LOOKUP($A38,Barèmes!$AB$65:$AB$148,Barèmes!$CB$65:$CB$148),IF(R38&lt;LOOKUP($A38,Barèmes!$AB$65:$AB$148,Barèmes!$BY$65:$BY$148),LOOKUP($A38,Barèmes!$AB$65:$AB$148,Barèmes!$CC$65:$CC179),LOOKUP($A38,Barèmes!$AB$65:$AB$148,Barèmes!$CD$65:$CD$148))))))</f>
        <v>9.0999999999999998E-2</v>
      </c>
      <c r="T38" s="280">
        <f t="shared" ca="1" si="8"/>
        <v>0.10099999999999999</v>
      </c>
      <c r="U38" s="274">
        <f t="shared" ca="1" si="9"/>
        <v>9.3349424917643711E-2</v>
      </c>
    </row>
    <row r="39" spans="1:21" s="5" customFormat="1" ht="18.75" x14ac:dyDescent="0.3">
      <c r="A39" s="15">
        <f>B39+Simulation!$D$4</f>
        <v>2092</v>
      </c>
      <c r="B39" s="19">
        <v>92</v>
      </c>
      <c r="C39" s="95">
        <v>1</v>
      </c>
      <c r="D39" s="20"/>
      <c r="E39" s="255">
        <f ca="1">IF(AND(Cot_droits!$J$6&lt;1,$B39&gt;=Simulation!$D$6,$B39&lt;Simulation!$D$6+3,$B39&lt;Simulation!$D$27),Cot_droits!$J$6,IF(AND(Cot_droits!$J$6&gt;1,$B39=Simulation!$D$6),Cot_droits!$J$6,1))</f>
        <v>1</v>
      </c>
      <c r="F39" s="187">
        <f>IF($B39=Simulation!$D$6,Cot_droits!$J$11,IF($B39&gt;Simulation!$D$6,Retraite!$F38*(LOOKUP($A39,Barèmes!$AB$65:$AB$148,Barèmes!$BG$65:$BG$148)/LOOKUP($A39-1,Barèmes!$AB$65:$AB$148,Barèmes!$BG$65:$BG$148)),0))</f>
        <v>27048.473725167405</v>
      </c>
      <c r="G39" s="188">
        <f t="shared" ca="1" si="2"/>
        <v>27048.473725167405</v>
      </c>
      <c r="H39" s="185"/>
      <c r="I39" s="187">
        <f>IF($B39=Simulation!$D$6,Cot_droits!$M$11,IF($B39&gt;Simulation!$D$6,Retraite!$I38*(1+LOOKUP($A39,Barèmes!$AB$65:$AB$148,Barèmes!$U$65:$U$148)),0))</f>
        <v>87938.929060619455</v>
      </c>
      <c r="J39" s="184"/>
      <c r="K39" s="182">
        <f t="shared" ca="1" si="10"/>
        <v>114987.40278578686</v>
      </c>
      <c r="L39" s="189">
        <f t="shared" si="3"/>
        <v>87938.929060619455</v>
      </c>
      <c r="M39" s="189">
        <f t="shared" ca="1" si="4"/>
        <v>27048.473725167405</v>
      </c>
      <c r="N39" s="191">
        <f t="shared" ca="1" si="5"/>
        <v>104253.06439502859</v>
      </c>
      <c r="O39" s="327">
        <f ca="1">N39+IF(OR(S39=9.1%,S39=7.4%),K39*LOOKUP($A39,Barèmes!$CG$65:$CG$148,Barèmes!$CE$65:$CE$148),0)</f>
        <v>107932.66128417377</v>
      </c>
      <c r="P39" s="183">
        <f t="shared" ca="1" si="6"/>
        <v>79936.48651610309</v>
      </c>
      <c r="Q39" s="183">
        <f t="shared" ca="1" si="7"/>
        <v>24316.577878925498</v>
      </c>
      <c r="R39" s="277">
        <f ca="1">0.9*(O38+LOOKUP(A38,Salaires!$A$7:$A$58,Salaires!$I$7:$I$58))</f>
        <v>95433.122278521274</v>
      </c>
      <c r="S39" s="280">
        <f ca="1">IF($C39=1,IF(R39&lt;LOOKUP($A39,Barèmes!$AB$65:$AB$148,Barèmes!$BM$65:$BM$148),LOOKUP($A39,Barèmes!$AB$65:$AB$148,Barèmes!$BQ$65:$BQ$148),IF(R39&lt;LOOKUP($A39,Barèmes!$AB$65:$AB$148,Barèmes!$BN$65:$BN$148),LOOKUP($A39,Barèmes!$AB$65:$AB$148,Barèmes!$BR$65:$BR$148),IF(R39&lt;LOOKUP($A39,Barèmes!$AB$65:$AB$148,Barèmes!$BO$65:$BO$148),LOOKUP($A39,Barèmes!$AB$65:$AB$148,Barèmes!$BS$65:$BS$148),LOOKUP($A39,Barèmes!$AB$65:$AB$148,Barèmes!$BT$65:$BT$148)))),IF($C39=2,IF(R39&lt;LOOKUP($A39,Barèmes!$AB$65:$AB$148,Barèmes!$BW$65:$BW$148),LOOKUP($A39,Barèmes!$AB$65:$AB$148,Barèmes!$CA$65:$CA$148),IF(R39&lt;LOOKUP($A39,Barèmes!$AB$65:$AB$148,Barèmes!$BX$65:$BX$148),LOOKUP($A39,Barèmes!$AB$65:$AB$148,Barèmes!$CB$65:$CB$148),IF(R39&lt;LOOKUP($A39,Barèmes!$AB$65:$AB$148,Barèmes!$BY$65:$BY$148),LOOKUP($A39,Barèmes!$AB$65:$AB$148,Barèmes!$CC$65:$CC180),LOOKUP($A39,Barèmes!$AB$65:$AB$148,Barèmes!$CD$65:$CD$148))))))</f>
        <v>9.0999999999999998E-2</v>
      </c>
      <c r="T39" s="280">
        <f t="shared" ca="1" si="8"/>
        <v>0.10099999999999999</v>
      </c>
      <c r="U39" s="274">
        <f t="shared" ca="1" si="9"/>
        <v>9.3352298866646852E-2</v>
      </c>
    </row>
    <row r="40" spans="1:21" s="5" customFormat="1" ht="18.75" x14ac:dyDescent="0.3">
      <c r="A40" s="15">
        <f>B40+Simulation!$D$4</f>
        <v>2093</v>
      </c>
      <c r="B40" s="19">
        <v>93</v>
      </c>
      <c r="C40" s="95">
        <v>1</v>
      </c>
      <c r="D40" s="20"/>
      <c r="E40" s="255">
        <f ca="1">IF(AND(Cot_droits!$J$6&lt;1,$B40&gt;=Simulation!$D$6,$B40&lt;Simulation!$D$6+3,$B40&lt;Simulation!$D$27),Cot_droits!$J$6,IF(AND(Cot_droits!$J$6&gt;1,$B40=Simulation!$D$6),Cot_droits!$J$6,1))</f>
        <v>1</v>
      </c>
      <c r="F40" s="187">
        <f>IF($B40=Simulation!$D$6,Cot_droits!$J$11,IF($B40&gt;Simulation!$D$6,Retraite!$F39*(LOOKUP($A40,Barèmes!$AB$65:$AB$148,Barèmes!$BG$65:$BG$148)/LOOKUP($A40-1,Barèmes!$AB$65:$AB$148,Barèmes!$BG$65:$BG$148)),0))</f>
        <v>27565.843406345542</v>
      </c>
      <c r="G40" s="188">
        <f t="shared" ca="1" si="2"/>
        <v>27565.843406345542</v>
      </c>
      <c r="H40" s="185"/>
      <c r="I40" s="187">
        <f>IF($B40=Simulation!$D$6,Cot_droits!$M$11,IF($B40&gt;Simulation!$D$6,Retraite!$I39*(1+LOOKUP($A40,Barèmes!$AB$65:$AB$148,Barèmes!$U$65:$U$148)),0))</f>
        <v>89477.860319180298</v>
      </c>
      <c r="J40" s="184"/>
      <c r="K40" s="182">
        <f t="shared" ca="1" si="10"/>
        <v>117043.70372552585</v>
      </c>
      <c r="L40" s="189">
        <f t="shared" si="3"/>
        <v>89477.860319180298</v>
      </c>
      <c r="M40" s="189">
        <f t="shared" ca="1" si="4"/>
        <v>27565.843406345542</v>
      </c>
      <c r="N40" s="191">
        <f t="shared" ca="1" si="5"/>
        <v>106117.06825243954</v>
      </c>
      <c r="O40" s="327">
        <f ca="1">N40+IF(OR(S40=9.1%,S40=7.4%),K40*LOOKUP($A40,Barèmes!$CG$65:$CG$148,Barèmes!$CE$65:$CE$148),0)</f>
        <v>109862.46677165637</v>
      </c>
      <c r="P40" s="183">
        <f t="shared" ca="1" si="6"/>
        <v>81335.375030134892</v>
      </c>
      <c r="Q40" s="183">
        <f t="shared" ca="1" si="7"/>
        <v>24781.693222304642</v>
      </c>
      <c r="R40" s="277">
        <f ca="1">0.9*(O39+LOOKUP(A39,Salaires!$A$7:$A$58,Salaires!$I$7:$I$58))</f>
        <v>97139.395155756385</v>
      </c>
      <c r="S40" s="280">
        <f ca="1">IF($C40=1,IF(R40&lt;LOOKUP($A40,Barèmes!$AB$65:$AB$148,Barèmes!$BM$65:$BM$148),LOOKUP($A40,Barèmes!$AB$65:$AB$148,Barèmes!$BQ$65:$BQ$148),IF(R40&lt;LOOKUP($A40,Barèmes!$AB$65:$AB$148,Barèmes!$BN$65:$BN$148),LOOKUP($A40,Barèmes!$AB$65:$AB$148,Barèmes!$BR$65:$BR$148),IF(R40&lt;LOOKUP($A40,Barèmes!$AB$65:$AB$148,Barèmes!$BO$65:$BO$148),LOOKUP($A40,Barèmes!$AB$65:$AB$148,Barèmes!$BS$65:$BS$148),LOOKUP($A40,Barèmes!$AB$65:$AB$148,Barèmes!$BT$65:$BT$148)))),IF($C40=2,IF(R40&lt;LOOKUP($A40,Barèmes!$AB$65:$AB$148,Barèmes!$BW$65:$BW$148),LOOKUP($A40,Barèmes!$AB$65:$AB$148,Barèmes!$CA$65:$CA$148),IF(R40&lt;LOOKUP($A40,Barèmes!$AB$65:$AB$148,Barèmes!$BX$65:$BX$148),LOOKUP($A40,Barèmes!$AB$65:$AB$148,Barèmes!$CB$65:$CB$148),IF(R40&lt;LOOKUP($A40,Barèmes!$AB$65:$AB$148,Barèmes!$BY$65:$BY$148),LOOKUP($A40,Barèmes!$AB$65:$AB$148,Barèmes!$CC$65:$CC181),LOOKUP($A40,Barèmes!$AB$65:$AB$148,Barèmes!$CD$65:$CD$148))))))</f>
        <v>9.0999999999999998E-2</v>
      </c>
      <c r="T40" s="280">
        <f t="shared" ca="1" si="8"/>
        <v>0.10099999999999999</v>
      </c>
      <c r="U40" s="274">
        <f t="shared" ca="1" si="9"/>
        <v>9.3355175248981292E-2</v>
      </c>
    </row>
    <row r="41" spans="1:21" s="5" customFormat="1" ht="18.75" x14ac:dyDescent="0.3">
      <c r="A41" s="15">
        <f>B41+Simulation!$D$4</f>
        <v>2094</v>
      </c>
      <c r="B41" s="19">
        <v>94</v>
      </c>
      <c r="C41" s="95">
        <v>1</v>
      </c>
      <c r="D41" s="20"/>
      <c r="E41" s="255">
        <f ca="1">IF(AND(Cot_droits!$J$6&lt;1,$B41&gt;=Simulation!$D$6,$B41&lt;Simulation!$D$6+3,$B41&lt;Simulation!$D$27),Cot_droits!$J$6,IF(AND(Cot_droits!$J$6&gt;1,$B41=Simulation!$D$6),Cot_droits!$J$6,1))</f>
        <v>1</v>
      </c>
      <c r="F41" s="187">
        <f>IF($B41=Simulation!$D$6,Cot_droits!$J$11,IF($B41&gt;Simulation!$D$6,Retraite!$F40*(LOOKUP($A41,Barèmes!$AB$65:$AB$148,Barèmes!$BG$65:$BG$148)/LOOKUP($A41-1,Barèmes!$AB$65:$AB$148,Barèmes!$BG$65:$BG$148)),0))</f>
        <v>28093.109076100416</v>
      </c>
      <c r="G41" s="188">
        <f t="shared" ca="1" si="2"/>
        <v>28093.109076100416</v>
      </c>
      <c r="H41" s="185"/>
      <c r="I41" s="187">
        <f>IF($B41=Simulation!$D$6,Cot_droits!$M$11,IF($B41&gt;Simulation!$D$6,Retraite!$I40*(1+LOOKUP($A41,Barèmes!$AB$65:$AB$148,Barèmes!$U$65:$U$148)),0))</f>
        <v>91043.722874765954</v>
      </c>
      <c r="J41" s="184"/>
      <c r="K41" s="182">
        <f t="shared" ca="1" si="10"/>
        <v>119136.83195086637</v>
      </c>
      <c r="L41" s="189">
        <f t="shared" si="3"/>
        <v>91043.722874765954</v>
      </c>
      <c r="M41" s="189">
        <f t="shared" ca="1" si="4"/>
        <v>28093.109076100416</v>
      </c>
      <c r="N41" s="191">
        <f t="shared" ca="1" si="5"/>
        <v>108014.44915257653</v>
      </c>
      <c r="O41" s="327">
        <f ca="1">N41+IF(OR(S41=9.1%,S41=7.4%),K41*LOOKUP($A41,Barèmes!$CG$65:$CG$148,Barèmes!$CE$65:$CE$148),0)</f>
        <v>111826.82777500426</v>
      </c>
      <c r="P41" s="183">
        <f t="shared" ca="1" si="6"/>
        <v>82758.744093162255</v>
      </c>
      <c r="Q41" s="183">
        <f t="shared" ca="1" si="7"/>
        <v>25255.705059414275</v>
      </c>
      <c r="R41" s="277">
        <f ca="1">0.9*(O40+LOOKUP(A40,Salaires!$A$7:$A$58,Salaires!$I$7:$I$58))</f>
        <v>98876.220094490738</v>
      </c>
      <c r="S41" s="280">
        <f ca="1">IF($C41=1,IF(R41&lt;LOOKUP($A41,Barèmes!$AB$65:$AB$148,Barèmes!$BM$65:$BM$148),LOOKUP($A41,Barèmes!$AB$65:$AB$148,Barèmes!$BQ$65:$BQ$148),IF(R41&lt;LOOKUP($A41,Barèmes!$AB$65:$AB$148,Barèmes!$BN$65:$BN$148),LOOKUP($A41,Barèmes!$AB$65:$AB$148,Barèmes!$BR$65:$BR$148),IF(R41&lt;LOOKUP($A41,Barèmes!$AB$65:$AB$148,Barèmes!$BO$65:$BO$148),LOOKUP($A41,Barèmes!$AB$65:$AB$148,Barèmes!$BS$65:$BS$148),LOOKUP($A41,Barèmes!$AB$65:$AB$148,Barèmes!$BT$65:$BT$148)))),IF($C41=2,IF(R41&lt;LOOKUP($A41,Barèmes!$AB$65:$AB$148,Barèmes!$BW$65:$BW$148),LOOKUP($A41,Barèmes!$AB$65:$AB$148,Barèmes!$CA$65:$CA$148),IF(R41&lt;LOOKUP($A41,Barèmes!$AB$65:$AB$148,Barèmes!$BX$65:$BX$148),LOOKUP($A41,Barèmes!$AB$65:$AB$148,Barèmes!$CB$65:$CB$148),IF(R41&lt;LOOKUP($A41,Barèmes!$AB$65:$AB$148,Barèmes!$BY$65:$BY$148),LOOKUP($A41,Barèmes!$AB$65:$AB$148,Barèmes!$CC$65:$CC182),LOOKUP($A41,Barèmes!$AB$65:$AB$148,Barèmes!$CD$65:$CD$148))))))</f>
        <v>9.0999999999999998E-2</v>
      </c>
      <c r="T41" s="280">
        <f t="shared" ca="1" si="8"/>
        <v>0.10099999999999999</v>
      </c>
      <c r="U41" s="274">
        <f t="shared" ca="1" si="9"/>
        <v>9.3358054064060197E-2</v>
      </c>
    </row>
    <row r="42" spans="1:21" s="5" customFormat="1" ht="18.75" x14ac:dyDescent="0.3">
      <c r="A42" s="15">
        <f>B42+Simulation!$D$4</f>
        <v>2095</v>
      </c>
      <c r="B42" s="19">
        <v>95</v>
      </c>
      <c r="C42" s="95">
        <v>1</v>
      </c>
      <c r="D42" s="20"/>
      <c r="E42" s="255">
        <f ca="1">IF(AND(Cot_droits!$J$6&lt;1,$B42&gt;=Simulation!$D$6,$B42&lt;Simulation!$D$6+3,$B42&lt;Simulation!$D$27),Cot_droits!$J$6,IF(AND(Cot_droits!$J$6&gt;1,$B42=Simulation!$D$6),Cot_droits!$J$6,1))</f>
        <v>1</v>
      </c>
      <c r="F42" s="187">
        <f>IF($B42=Simulation!$D$6,Cot_droits!$J$11,IF($B42&gt;Simulation!$D$6,Retraite!$F41*(LOOKUP($A42,Barèmes!$AB$65:$AB$148,Barèmes!$BG$65:$BG$148)/LOOKUP($A42-1,Barèmes!$AB$65:$AB$148,Barèmes!$BG$65:$BG$148)),0))</f>
        <v>28630.460019953527</v>
      </c>
      <c r="G42" s="188">
        <f t="shared" ca="1" si="2"/>
        <v>28630.460019953527</v>
      </c>
      <c r="H42" s="185"/>
      <c r="I42" s="187">
        <f>IF($B42=Simulation!$D$6,Cot_droits!$M$11,IF($B42&gt;Simulation!$D$6,Retraite!$I41*(1+LOOKUP($A42,Barèmes!$AB$65:$AB$148,Barèmes!$U$65:$U$148)),0))</f>
        <v>92636.988025074359</v>
      </c>
      <c r="J42" s="184"/>
      <c r="K42" s="182">
        <f t="shared" ca="1" si="10"/>
        <v>121267.44804502788</v>
      </c>
      <c r="L42" s="189">
        <f t="shared" si="3"/>
        <v>92636.988025074359</v>
      </c>
      <c r="M42" s="189">
        <f t="shared" ca="1" si="4"/>
        <v>28630.460019953527</v>
      </c>
      <c r="N42" s="191">
        <f t="shared" ca="1" si="5"/>
        <v>109945.80567273081</v>
      </c>
      <c r="O42" s="327">
        <f ca="1">N42+IF(OR(S42=9.1%,S42=7.4%),K42*LOOKUP($A42,Barèmes!$CG$65:$CG$148,Barèmes!$CE$65:$CE$148),0)</f>
        <v>113826.3640101717</v>
      </c>
      <c r="P42" s="183">
        <f t="shared" ca="1" si="6"/>
        <v>84207.022114792591</v>
      </c>
      <c r="Q42" s="183">
        <f t="shared" ca="1" si="7"/>
        <v>25738.783557938223</v>
      </c>
      <c r="R42" s="277">
        <f ca="1">0.9*(O41+LOOKUP(A41,Salaires!$A$7:$A$58,Salaires!$I$7:$I$58))</f>
        <v>100644.14499750384</v>
      </c>
      <c r="S42" s="280">
        <f ca="1">IF($C42=1,IF(R42&lt;LOOKUP($A42,Barèmes!$AB$65:$AB$148,Barèmes!$BM$65:$BM$148),LOOKUP($A42,Barèmes!$AB$65:$AB$148,Barèmes!$BQ$65:$BQ$148),IF(R42&lt;LOOKUP($A42,Barèmes!$AB$65:$AB$148,Barèmes!$BN$65:$BN$148),LOOKUP($A42,Barèmes!$AB$65:$AB$148,Barèmes!$BR$65:$BR$148),IF(R42&lt;LOOKUP($A42,Barèmes!$AB$65:$AB$148,Barèmes!$BO$65:$BO$148),LOOKUP($A42,Barèmes!$AB$65:$AB$148,Barèmes!$BS$65:$BS$148),LOOKUP($A42,Barèmes!$AB$65:$AB$148,Barèmes!$BT$65:$BT$148)))),IF($C42=2,IF(R42&lt;LOOKUP($A42,Barèmes!$AB$65:$AB$148,Barèmes!$BW$65:$BW$148),LOOKUP($A42,Barèmes!$AB$65:$AB$148,Barèmes!$CA$65:$CA$148),IF(R42&lt;LOOKUP($A42,Barèmes!$AB$65:$AB$148,Barèmes!$BX$65:$BX$148),LOOKUP($A42,Barèmes!$AB$65:$AB$148,Barèmes!$CB$65:$CB$148),IF(R42&lt;LOOKUP($A42,Barèmes!$AB$65:$AB$148,Barèmes!$BY$65:$BY$148),LOOKUP($A42,Barèmes!$AB$65:$AB$148,Barèmes!$CC$65:$CC183),LOOKUP($A42,Barèmes!$AB$65:$AB$148,Barèmes!$CD$65:$CD$148))))))</f>
        <v>9.0999999999999998E-2</v>
      </c>
      <c r="T42" s="280">
        <f t="shared" ca="1" si="8"/>
        <v>0.10099999999999999</v>
      </c>
      <c r="U42" s="274">
        <f t="shared" ca="1" si="9"/>
        <v>9.3360935311289972E-2</v>
      </c>
    </row>
    <row r="43" spans="1:21" s="5" customFormat="1" ht="18.75" x14ac:dyDescent="0.3">
      <c r="A43" s="15">
        <f>B43+Simulation!$D$4</f>
        <v>2096</v>
      </c>
      <c r="B43" s="19">
        <v>96</v>
      </c>
      <c r="C43" s="95">
        <v>1</v>
      </c>
      <c r="D43" s="20"/>
      <c r="E43" s="255">
        <f ca="1">IF(AND(Cot_droits!$J$6&lt;1,$B43&gt;=Simulation!$D$6,$B43&lt;Simulation!$D$6+3,$B43&lt;Simulation!$D$27),Cot_droits!$J$6,IF(AND(Cot_droits!$J$6&gt;1,$B43=Simulation!$D$6),Cot_droits!$J$6,1))</f>
        <v>1</v>
      </c>
      <c r="F43" s="187">
        <f>IF($B43=Simulation!$D$6,Cot_droits!$J$11,IF($B43&gt;Simulation!$D$6,Retraite!$F42*(LOOKUP($A43,Barèmes!$AB$65:$AB$148,Barèmes!$BG$65:$BG$148)/LOOKUP($A43-1,Barèmes!$AB$65:$AB$148,Barèmes!$BG$65:$BG$148)),0))</f>
        <v>29178.089143985188</v>
      </c>
      <c r="G43" s="188">
        <f t="shared" ca="1" si="2"/>
        <v>29178.089143985188</v>
      </c>
      <c r="H43" s="185"/>
      <c r="I43" s="187">
        <f>IF($B43=Simulation!$D$6,Cot_droits!$M$11,IF($B43&gt;Simulation!$D$6,Retraite!$I42*(1+LOOKUP($A43,Barèmes!$AB$65:$AB$148,Barèmes!$U$65:$U$148)),0))</f>
        <v>94258.135315513166</v>
      </c>
      <c r="J43" s="184"/>
      <c r="K43" s="182">
        <f t="shared" ca="1" si="10"/>
        <v>123436.22445949835</v>
      </c>
      <c r="L43" s="189">
        <f t="shared" si="3"/>
        <v>94258.135315513166</v>
      </c>
      <c r="M43" s="189">
        <f t="shared" ca="1" si="4"/>
        <v>29178.089143985188</v>
      </c>
      <c r="N43" s="191">
        <f t="shared" ca="1" si="5"/>
        <v>111911.74714224416</v>
      </c>
      <c r="O43" s="327">
        <f ca="1">N43+IF(OR(S43=9.1%,S43=7.4%),K43*LOOKUP($A43,Barèmes!$CG$65:$CG$148,Barèmes!$CE$65:$CE$148),0)</f>
        <v>115861.7063249481</v>
      </c>
      <c r="P43" s="183">
        <f t="shared" ca="1" si="6"/>
        <v>85680.645001801473</v>
      </c>
      <c r="Q43" s="183">
        <f t="shared" ca="1" si="7"/>
        <v>26231.102140442683</v>
      </c>
      <c r="R43" s="277">
        <f ca="1">0.9*(O42+LOOKUP(A42,Salaires!$A$7:$A$58,Salaires!$I$7:$I$58))</f>
        <v>102443.72760915454</v>
      </c>
      <c r="S43" s="280">
        <f ca="1">IF($C43=1,IF(R43&lt;LOOKUP($A43,Barèmes!$AB$65:$AB$148,Barèmes!$BM$65:$BM$148),LOOKUP($A43,Barèmes!$AB$65:$AB$148,Barèmes!$BQ$65:$BQ$148),IF(R43&lt;LOOKUP($A43,Barèmes!$AB$65:$AB$148,Barèmes!$BN$65:$BN$148),LOOKUP($A43,Barèmes!$AB$65:$AB$148,Barèmes!$BR$65:$BR$148),IF(R43&lt;LOOKUP($A43,Barèmes!$AB$65:$AB$148,Barèmes!$BO$65:$BO$148),LOOKUP($A43,Barèmes!$AB$65:$AB$148,Barèmes!$BS$65:$BS$148),LOOKUP($A43,Barèmes!$AB$65:$AB$148,Barèmes!$BT$65:$BT$148)))),IF($C43=2,IF(R43&lt;LOOKUP($A43,Barèmes!$AB$65:$AB$148,Barèmes!$BW$65:$BW$148),LOOKUP($A43,Barèmes!$AB$65:$AB$148,Barèmes!$CA$65:$CA$148),IF(R43&lt;LOOKUP($A43,Barèmes!$AB$65:$AB$148,Barèmes!$BX$65:$BX$148),LOOKUP($A43,Barèmes!$AB$65:$AB$148,Barèmes!$CB$65:$CB$148),IF(R43&lt;LOOKUP($A43,Barèmes!$AB$65:$AB$148,Barèmes!$BY$65:$BY$148),LOOKUP($A43,Barèmes!$AB$65:$AB$148,Barèmes!$CC$65:$CC184),LOOKUP($A43,Barèmes!$AB$65:$AB$148,Barèmes!$CD$65:$CD$148))))))</f>
        <v>9.0999999999999998E-2</v>
      </c>
      <c r="T43" s="280">
        <f t="shared" ca="1" si="8"/>
        <v>0.10099999999999999</v>
      </c>
      <c r="U43" s="274">
        <f t="shared" ca="1" si="9"/>
        <v>9.3363818990069472E-2</v>
      </c>
    </row>
    <row r="44" spans="1:21" s="5" customFormat="1" ht="18.75" x14ac:dyDescent="0.3">
      <c r="A44" s="15">
        <f>B44+Simulation!$D$4</f>
        <v>2097</v>
      </c>
      <c r="B44" s="19">
        <v>97</v>
      </c>
      <c r="C44" s="95">
        <v>1</v>
      </c>
      <c r="D44" s="20"/>
      <c r="E44" s="255">
        <f ca="1">IF(AND(Cot_droits!$J$6&lt;1,$B44&gt;=Simulation!$D$6,$B44&lt;Simulation!$D$6+3,$B44&lt;Simulation!$D$27),Cot_droits!$J$6,IF(AND(Cot_droits!$J$6&gt;1,$B44=Simulation!$D$6),Cot_droits!$J$6,1))</f>
        <v>1</v>
      </c>
      <c r="F44" s="187">
        <f>IF($B44=Simulation!$D$6,Cot_droits!$J$11,IF($B44&gt;Simulation!$D$6,Retraite!$F43*(LOOKUP($A44,Barèmes!$AB$65:$AB$148,Barèmes!$BG$65:$BG$148)/LOOKUP($A44-1,Barèmes!$AB$65:$AB$148,Barèmes!$BG$65:$BG$148)),0))</f>
        <v>29736.193044086762</v>
      </c>
      <c r="G44" s="188">
        <f t="shared" ca="1" si="2"/>
        <v>29736.193044086762</v>
      </c>
      <c r="H44" s="185"/>
      <c r="I44" s="187">
        <f>IF($B44=Simulation!$D$6,Cot_droits!$M$11,IF($B44&gt;Simulation!$D$6,Retraite!$I43*(1+LOOKUP($A44,Barèmes!$AB$65:$AB$148,Barèmes!$U$65:$U$148)),0))</f>
        <v>95907.652683534659</v>
      </c>
      <c r="J44" s="184"/>
      <c r="K44" s="182">
        <f t="shared" ca="1" si="10"/>
        <v>125643.84572762142</v>
      </c>
      <c r="L44" s="189">
        <f t="shared" si="3"/>
        <v>95907.652683534659</v>
      </c>
      <c r="M44" s="189">
        <f t="shared" ca="1" si="4"/>
        <v>29736.193044086762</v>
      </c>
      <c r="N44" s="191">
        <f t="shared" ca="1" si="5"/>
        <v>113912.893835967</v>
      </c>
      <c r="O44" s="327">
        <f ca="1">N44+IF(OR(S44=9.1%,S44=7.4%),K44*LOOKUP($A44,Barèmes!$CG$65:$CG$148,Barèmes!$CE$65:$CE$148),0)</f>
        <v>117933.49689925088</v>
      </c>
      <c r="P44" s="183">
        <f t="shared" ca="1" si="6"/>
        <v>87180.056289333006</v>
      </c>
      <c r="Q44" s="183">
        <f t="shared" ca="1" si="7"/>
        <v>26732.837546634</v>
      </c>
      <c r="R44" s="277">
        <f ca="1">0.9*(O43+LOOKUP(A43,Salaires!$A$7:$A$58,Salaires!$I$7:$I$58))</f>
        <v>104275.5356924533</v>
      </c>
      <c r="S44" s="280">
        <f ca="1">IF($C44=1,IF(R44&lt;LOOKUP($A44,Barèmes!$AB$65:$AB$148,Barèmes!$BM$65:$BM$148),LOOKUP($A44,Barèmes!$AB$65:$AB$148,Barèmes!$BQ$65:$BQ$148),IF(R44&lt;LOOKUP($A44,Barèmes!$AB$65:$AB$148,Barèmes!$BN$65:$BN$148),LOOKUP($A44,Barèmes!$AB$65:$AB$148,Barèmes!$BR$65:$BR$148),IF(R44&lt;LOOKUP($A44,Barèmes!$AB$65:$AB$148,Barèmes!$BO$65:$BO$148),LOOKUP($A44,Barèmes!$AB$65:$AB$148,Barèmes!$BS$65:$BS$148),LOOKUP($A44,Barèmes!$AB$65:$AB$148,Barèmes!$BT$65:$BT$148)))),IF($C44=2,IF(R44&lt;LOOKUP($A44,Barèmes!$AB$65:$AB$148,Barèmes!$BW$65:$BW$148),LOOKUP($A44,Barèmes!$AB$65:$AB$148,Barèmes!$CA$65:$CA$148),IF(R44&lt;LOOKUP($A44,Barèmes!$AB$65:$AB$148,Barèmes!$BX$65:$BX$148),LOOKUP($A44,Barèmes!$AB$65:$AB$148,Barèmes!$CB$65:$CB$148),IF(R44&lt;LOOKUP($A44,Barèmes!$AB$65:$AB$148,Barèmes!$BY$65:$BY$148),LOOKUP($A44,Barèmes!$AB$65:$AB$148,Barèmes!$CC$65:$CC185),LOOKUP($A44,Barèmes!$AB$65:$AB$148,Barèmes!$CD$65:$CD$148))))))</f>
        <v>9.0999999999999998E-2</v>
      </c>
      <c r="T44" s="280">
        <f t="shared" ca="1" si="8"/>
        <v>0.10099999999999999</v>
      </c>
      <c r="U44" s="274">
        <f t="shared" ca="1" si="9"/>
        <v>9.3366705099790628E-2</v>
      </c>
    </row>
    <row r="45" spans="1:21" s="5" customFormat="1" ht="18.75" x14ac:dyDescent="0.3">
      <c r="A45" s="15">
        <f>B45+Simulation!$D$4</f>
        <v>2098</v>
      </c>
      <c r="B45" s="19">
        <v>98</v>
      </c>
      <c r="C45" s="95">
        <v>1</v>
      </c>
      <c r="D45" s="20"/>
      <c r="E45" s="255">
        <f ca="1">IF(AND(Cot_droits!$J$6&lt;1,$B45&gt;=Simulation!$D$6,$B45&lt;Simulation!$D$6+3,$B45&lt;Simulation!$D$27),Cot_droits!$J$6,IF(AND(Cot_droits!$J$6&gt;1,$B45=Simulation!$D$6),Cot_droits!$J$6,1))</f>
        <v>1</v>
      </c>
      <c r="F45" s="187">
        <f>IF($B45=Simulation!$D$6,Cot_droits!$J$11,IF($B45&gt;Simulation!$D$6,Retraite!$F44*(LOOKUP($A45,Barèmes!$AB$65:$AB$148,Barèmes!$BG$65:$BG$148)/LOOKUP($A45-1,Barèmes!$AB$65:$AB$148,Barèmes!$BG$65:$BG$148)),0))</f>
        <v>30304.972076537531</v>
      </c>
      <c r="G45" s="188">
        <f t="shared" ca="1" si="2"/>
        <v>30304.972076537531</v>
      </c>
      <c r="H45" s="185"/>
      <c r="I45" s="187">
        <f>IF($B45=Simulation!$D$6,Cot_droits!$M$11,IF($B45&gt;Simulation!$D$6,Retraite!$I44*(1+LOOKUP($A45,Barèmes!$AB$65:$AB$148,Barèmes!$U$65:$U$148)),0))</f>
        <v>97586.036605496527</v>
      </c>
      <c r="J45" s="184"/>
      <c r="K45" s="182">
        <f t="shared" ca="1" si="10"/>
        <v>127891.00868203407</v>
      </c>
      <c r="L45" s="189">
        <f t="shared" si="3"/>
        <v>97586.036605496527</v>
      </c>
      <c r="M45" s="189">
        <f t="shared" ca="1" si="4"/>
        <v>30304.972076537531</v>
      </c>
      <c r="N45" s="191">
        <f t="shared" ca="1" si="5"/>
        <v>115949.8771712036</v>
      </c>
      <c r="O45" s="327">
        <f ca="1">N45+IF(OR(S45=9.1%,S45=7.4%),K45*LOOKUP($A45,Barèmes!$CG$65:$CG$148,Barèmes!$CE$65:$CE$148),0)</f>
        <v>120042.38944902869</v>
      </c>
      <c r="P45" s="183">
        <f t="shared" ca="1" si="6"/>
        <v>88705.707274396351</v>
      </c>
      <c r="Q45" s="183">
        <f t="shared" ca="1" si="7"/>
        <v>27244.169896807241</v>
      </c>
      <c r="R45" s="277">
        <f ca="1">0.9*(O44+LOOKUP(A44,Salaires!$A$7:$A$58,Salaires!$I$7:$I$58))</f>
        <v>106140.14720932579</v>
      </c>
      <c r="S45" s="280">
        <f ca="1">IF($C45=1,IF(R45&lt;LOOKUP($A45,Barèmes!$AB$65:$AB$148,Barèmes!$BM$65:$BM$148),LOOKUP($A45,Barèmes!$AB$65:$AB$148,Barèmes!$BQ$65:$BQ$148),IF(R45&lt;LOOKUP($A45,Barèmes!$AB$65:$AB$148,Barèmes!$BN$65:$BN$148),LOOKUP($A45,Barèmes!$AB$65:$AB$148,Barèmes!$BR$65:$BR$148),IF(R45&lt;LOOKUP($A45,Barèmes!$AB$65:$AB$148,Barèmes!$BO$65:$BO$148),LOOKUP($A45,Barèmes!$AB$65:$AB$148,Barèmes!$BS$65:$BS$148),LOOKUP($A45,Barèmes!$AB$65:$AB$148,Barèmes!$BT$65:$BT$148)))),IF($C45=2,IF(R45&lt;LOOKUP($A45,Barèmes!$AB$65:$AB$148,Barèmes!$BW$65:$BW$148),LOOKUP($A45,Barèmes!$AB$65:$AB$148,Barèmes!$CA$65:$CA$148),IF(R45&lt;LOOKUP($A45,Barèmes!$AB$65:$AB$148,Barèmes!$BX$65:$BX$148),LOOKUP($A45,Barèmes!$AB$65:$AB$148,Barèmes!$CB$65:$CB$148),IF(R45&lt;LOOKUP($A45,Barèmes!$AB$65:$AB$148,Barèmes!$BY$65:$BY$148),LOOKUP($A45,Barèmes!$AB$65:$AB$148,Barèmes!$CC$65:$CC186),LOOKUP($A45,Barèmes!$AB$65:$AB$148,Barèmes!$CD$65:$CD$148))))))</f>
        <v>9.0999999999999998E-2</v>
      </c>
      <c r="T45" s="280">
        <f t="shared" ca="1" si="8"/>
        <v>0.10099999999999999</v>
      </c>
      <c r="U45" s="274">
        <f t="shared" ca="1" si="9"/>
        <v>9.3369593639837656E-2</v>
      </c>
    </row>
    <row r="46" spans="1:21" s="5" customFormat="1" ht="18.75" x14ac:dyDescent="0.3">
      <c r="A46" s="15">
        <f>B46+Simulation!$D$4</f>
        <v>2099</v>
      </c>
      <c r="B46" s="19">
        <v>99</v>
      </c>
      <c r="C46" s="95">
        <v>1</v>
      </c>
      <c r="D46" s="20"/>
      <c r="E46" s="255">
        <f ca="1">IF(AND(Cot_droits!$J$6&lt;1,$B46&gt;=Simulation!$D$6,$B46&lt;Simulation!$D$6+3,$B46&lt;Simulation!$D$27),Cot_droits!$J$6,IF(AND(Cot_droits!$J$6&gt;1,$B46=Simulation!$D$6),Cot_droits!$J$6,1))</f>
        <v>1</v>
      </c>
      <c r="F46" s="187">
        <f>IF($B46=Simulation!$D$6,Cot_droits!$J$11,IF($B46&gt;Simulation!$D$6,Retraite!$F45*(LOOKUP($A46,Barèmes!$AB$65:$AB$148,Barèmes!$BG$65:$BG$148)/LOOKUP($A46-1,Barèmes!$AB$65:$AB$148,Barèmes!$BG$65:$BG$148)),0))</f>
        <v>30884.630429931502</v>
      </c>
      <c r="G46" s="188">
        <f t="shared" ca="1" si="2"/>
        <v>30884.630429931502</v>
      </c>
      <c r="H46" s="185"/>
      <c r="I46" s="187">
        <f>IF($B46=Simulation!$D$6,Cot_droits!$M$11,IF($B46&gt;Simulation!$D$6,Retraite!$I45*(1+LOOKUP($A46,Barèmes!$AB$65:$AB$148,Barèmes!$U$65:$U$148)),0))</f>
        <v>99293.792246092722</v>
      </c>
      <c r="J46" s="184"/>
      <c r="K46" s="182">
        <f t="shared" ca="1" si="10"/>
        <v>130178.42267602423</v>
      </c>
      <c r="L46" s="189">
        <f t="shared" si="3"/>
        <v>99293.792246092722</v>
      </c>
      <c r="M46" s="189">
        <f t="shared" ca="1" si="4"/>
        <v>30884.630429931502</v>
      </c>
      <c r="N46" s="191">
        <f t="shared" ca="1" si="5"/>
        <v>118023.3399082067</v>
      </c>
      <c r="O46" s="327">
        <f ca="1">N46+IF(OR(S46=9.1%,S46=7.4%),K46*LOOKUP($A46,Barèmes!$CG$65:$CG$148,Barèmes!$CE$65:$CE$148),0)</f>
        <v>122189.04943383948</v>
      </c>
      <c r="P46" s="183">
        <f t="shared" ca="1" si="6"/>
        <v>90258.057151698289</v>
      </c>
      <c r="Q46" s="183">
        <f t="shared" ca="1" si="7"/>
        <v>27765.282756508419</v>
      </c>
      <c r="R46" s="277">
        <f ca="1">0.9*(O45+LOOKUP(A45,Salaires!$A$7:$A$58,Salaires!$I$7:$I$58))</f>
        <v>108038.15050412582</v>
      </c>
      <c r="S46" s="280">
        <f ca="1">IF($C46=1,IF(R46&lt;LOOKUP($A46,Barèmes!$AB$65:$AB$148,Barèmes!$BM$65:$BM$148),LOOKUP($A46,Barèmes!$AB$65:$AB$148,Barèmes!$BQ$65:$BQ$148),IF(R46&lt;LOOKUP($A46,Barèmes!$AB$65:$AB$148,Barèmes!$BN$65:$BN$148),LOOKUP($A46,Barèmes!$AB$65:$AB$148,Barèmes!$BR$65:$BR$148),IF(R46&lt;LOOKUP($A46,Barèmes!$AB$65:$AB$148,Barèmes!$BO$65:$BO$148),LOOKUP($A46,Barèmes!$AB$65:$AB$148,Barèmes!$BS$65:$BS$148),LOOKUP($A46,Barèmes!$AB$65:$AB$148,Barèmes!$BT$65:$BT$148)))),IF($C46=2,IF(R46&lt;LOOKUP($A46,Barèmes!$AB$65:$AB$148,Barèmes!$BW$65:$BW$148),LOOKUP($A46,Barèmes!$AB$65:$AB$148,Barèmes!$CA$65:$CA$148),IF(R46&lt;LOOKUP($A46,Barèmes!$AB$65:$AB$148,Barèmes!$BX$65:$BX$148),LOOKUP($A46,Barèmes!$AB$65:$AB$148,Barèmes!$CB$65:$CB$148),IF(R46&lt;LOOKUP($A46,Barèmes!$AB$65:$AB$148,Barèmes!$BY$65:$BY$148),LOOKUP($A46,Barèmes!$AB$65:$AB$148,Barèmes!$CC$65:$CC187),LOOKUP($A46,Barèmes!$AB$65:$AB$148,Barèmes!$CD$65:$CD$148))))))</f>
        <v>9.0999999999999998E-2</v>
      </c>
      <c r="T46" s="280">
        <f t="shared" ca="1" si="8"/>
        <v>0.10099999999999999</v>
      </c>
      <c r="U46" s="274">
        <f t="shared" ca="1" si="9"/>
        <v>9.3372484609588094E-2</v>
      </c>
    </row>
    <row r="47" spans="1:21" s="5" customFormat="1" ht="18.75" x14ac:dyDescent="0.3">
      <c r="A47" s="15">
        <f>B47+Simulation!$D$4</f>
        <v>2100</v>
      </c>
      <c r="B47" s="19">
        <v>100</v>
      </c>
      <c r="C47" s="95">
        <v>1</v>
      </c>
      <c r="D47" s="20"/>
      <c r="E47" s="255">
        <f ca="1">IF(AND(Cot_droits!$J$6&lt;1,$B47&gt;=Simulation!$D$6,$B47&lt;Simulation!$D$6+3,$B47&lt;Simulation!$D$27),Cot_droits!$J$6,IF(AND(Cot_droits!$J$6&gt;1,$B47=Simulation!$D$6),Cot_droits!$J$6,1))</f>
        <v>1</v>
      </c>
      <c r="F47" s="187">
        <f>IF($B47=Simulation!$D$6,Cot_droits!$J$11,IF($B47&gt;Simulation!$D$6,Retraite!$F46*(LOOKUP($A47,Barèmes!$AB$65:$AB$148,Barèmes!$BG$65:$BG$148)/LOOKUP($A47-1,Barèmes!$AB$65:$AB$148,Barèmes!$BG$65:$BG$148)),0))</f>
        <v>31475.376198480015</v>
      </c>
      <c r="G47" s="188">
        <f t="shared" ca="1" si="2"/>
        <v>31475.376198480015</v>
      </c>
      <c r="H47" s="185"/>
      <c r="I47" s="187">
        <f>IF($B47=Simulation!$D$6,Cot_droits!$M$11,IF($B47&gt;Simulation!$D$6,Retraite!$I46*(1+LOOKUP($A47,Barèmes!$AB$65:$AB$148,Barèmes!$U$65:$U$148)),0))</f>
        <v>101031.43361039936</v>
      </c>
      <c r="J47" s="184"/>
      <c r="K47" s="182">
        <f t="shared" ca="1" si="10"/>
        <v>132506.80980887936</v>
      </c>
      <c r="L47" s="189">
        <f t="shared" si="3"/>
        <v>101031.43361039936</v>
      </c>
      <c r="M47" s="189">
        <f t="shared" ca="1" si="4"/>
        <v>31475.376198480015</v>
      </c>
      <c r="N47" s="191">
        <f t="shared" ca="1" si="5"/>
        <v>120133.93635428656</v>
      </c>
      <c r="O47" s="327">
        <f ca="1">N47+IF(OR(S47=9.1%,S47=7.4%),K47*LOOKUP($A47,Barèmes!$CG$65:$CG$148,Barèmes!$CE$65:$CE$148),0)</f>
        <v>124374.15426817071</v>
      </c>
      <c r="P47" s="183">
        <f t="shared" ca="1" si="6"/>
        <v>91837.573151853023</v>
      </c>
      <c r="Q47" s="183">
        <f t="shared" ca="1" si="7"/>
        <v>28296.363202433535</v>
      </c>
      <c r="R47" s="277">
        <f ca="1">0.9*(O46+LOOKUP(A46,Salaires!$A$7:$A$58,Salaires!$I$7:$I$58))</f>
        <v>109970.14449045554</v>
      </c>
      <c r="S47" s="280">
        <f ca="1">IF($C47=1,IF(R47&lt;LOOKUP($A47,Barèmes!$AB$65:$AB$148,Barèmes!$BM$65:$BM$148),LOOKUP($A47,Barèmes!$AB$65:$AB$148,Barèmes!$BQ$65:$BQ$148),IF(R47&lt;LOOKUP($A47,Barèmes!$AB$65:$AB$148,Barèmes!$BN$65:$BN$148),LOOKUP($A47,Barèmes!$AB$65:$AB$148,Barèmes!$BR$65:$BR$148),IF(R47&lt;LOOKUP($A47,Barèmes!$AB$65:$AB$148,Barèmes!$BO$65:$BO$148),LOOKUP($A47,Barèmes!$AB$65:$AB$148,Barèmes!$BS$65:$BS$148),LOOKUP($A47,Barèmes!$AB$65:$AB$148,Barèmes!$BT$65:$BT$148)))),IF($C47=2,IF(R47&lt;LOOKUP($A47,Barèmes!$AB$65:$AB$148,Barèmes!$BW$65:$BW$148),LOOKUP($A47,Barèmes!$AB$65:$AB$148,Barèmes!$CA$65:$CA$148),IF(R47&lt;LOOKUP($A47,Barèmes!$AB$65:$AB$148,Barèmes!$BX$65:$BX$148),LOOKUP($A47,Barèmes!$AB$65:$AB$148,Barèmes!$CB$65:$CB$148),IF(R47&lt;LOOKUP($A47,Barèmes!$AB$65:$AB$148,Barèmes!$BY$65:$BY$148),LOOKUP($A47,Barèmes!$AB$65:$AB$148,Barèmes!$CC$65:$CC188),LOOKUP($A47,Barèmes!$AB$65:$AB$148,Barèmes!$CD$65:$CD$148))))))</f>
        <v>9.0999999999999998E-2</v>
      </c>
      <c r="T47" s="280">
        <f t="shared" ca="1" si="8"/>
        <v>0.10099999999999999</v>
      </c>
      <c r="U47" s="274">
        <f t="shared" ca="1" si="9"/>
        <v>9.3375378008411516E-2</v>
      </c>
    </row>
  </sheetData>
  <mergeCells count="3">
    <mergeCell ref="E3:G3"/>
    <mergeCell ref="K3:U3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97"/>
  <sheetViews>
    <sheetView showGridLines="0" workbookViewId="0">
      <selection activeCell="H16" sqref="H16"/>
    </sheetView>
  </sheetViews>
  <sheetFormatPr baseColWidth="10" defaultRowHeight="15.75" customHeight="1" x14ac:dyDescent="0.25"/>
  <cols>
    <col min="1" max="1" width="25.85546875" style="1" customWidth="1"/>
    <col min="2" max="3" width="17" style="41" customWidth="1"/>
    <col min="4" max="4" width="11.42578125" style="41"/>
    <col min="5" max="6" width="17" style="41" customWidth="1"/>
    <col min="7" max="7" width="11.42578125" style="41"/>
    <col min="8" max="9" width="17" style="41" customWidth="1"/>
    <col min="10" max="16384" width="11.42578125" style="41"/>
  </cols>
  <sheetData>
    <row r="1" spans="1:12" ht="32.25" customHeight="1" x14ac:dyDescent="0.25">
      <c r="A1" s="128" t="s">
        <v>133</v>
      </c>
      <c r="B1" s="128" t="s">
        <v>134</v>
      </c>
      <c r="E1" s="128"/>
      <c r="H1" s="128"/>
    </row>
    <row r="2" spans="1:12" ht="15.75" customHeight="1" x14ac:dyDescent="0.3">
      <c r="B2" s="775" t="s">
        <v>135</v>
      </c>
      <c r="C2" s="775"/>
      <c r="E2" s="775" t="s">
        <v>90</v>
      </c>
      <c r="F2" s="775"/>
      <c r="H2" s="775" t="s">
        <v>16</v>
      </c>
      <c r="I2" s="775"/>
    </row>
    <row r="3" spans="1:12" ht="7.5" customHeight="1" thickBot="1" x14ac:dyDescent="0.35">
      <c r="B3" s="106"/>
      <c r="C3" s="106"/>
      <c r="E3" s="106"/>
      <c r="F3" s="106"/>
      <c r="H3" s="106"/>
      <c r="I3" s="106"/>
    </row>
    <row r="4" spans="1:12" s="43" customFormat="1" ht="15.75" customHeight="1" thickBot="1" x14ac:dyDescent="0.3">
      <c r="A4" s="114" t="s">
        <v>30</v>
      </c>
      <c r="B4" s="776">
        <f>Simulation!$D$4</f>
        <v>2000</v>
      </c>
      <c r="C4" s="777"/>
      <c r="E4" s="776">
        <f>Simulation!$D$4</f>
        <v>2000</v>
      </c>
      <c r="F4" s="777"/>
      <c r="H4" s="776">
        <f>Simulation!$D$4</f>
        <v>2000</v>
      </c>
      <c r="I4" s="777"/>
    </row>
    <row r="5" spans="1:12" s="43" customFormat="1" ht="15.75" customHeight="1" x14ac:dyDescent="0.25">
      <c r="A5" s="127" t="s">
        <v>31</v>
      </c>
      <c r="B5" s="778">
        <f>Simulation!$D$6</f>
        <v>64</v>
      </c>
      <c r="C5" s="779"/>
      <c r="E5" s="778">
        <f>Simulation!$D$6</f>
        <v>64</v>
      </c>
      <c r="F5" s="779"/>
      <c r="H5" s="778">
        <f>Simulation!$D$6</f>
        <v>64</v>
      </c>
      <c r="I5" s="779"/>
    </row>
    <row r="6" spans="1:12" s="43" customFormat="1" ht="15.75" customHeight="1" x14ac:dyDescent="0.25">
      <c r="A6" s="125" t="s">
        <v>51</v>
      </c>
      <c r="B6" s="780" t="str">
        <f>Simulation!$D$8</f>
        <v>Neutre</v>
      </c>
      <c r="C6" s="781"/>
      <c r="E6" s="780" t="str">
        <f>Simulation!$D$8</f>
        <v>Neutre</v>
      </c>
      <c r="F6" s="781"/>
      <c r="H6" s="780" t="str">
        <f>Simulation!$D$8</f>
        <v>Neutre</v>
      </c>
      <c r="I6" s="781"/>
    </row>
    <row r="7" spans="1:12" s="43" customFormat="1" ht="15.75" customHeight="1" x14ac:dyDescent="0.25">
      <c r="A7" s="125" t="s">
        <v>49</v>
      </c>
      <c r="B7" s="780" t="str">
        <f>Simulation!$D$9</f>
        <v>Moyen</v>
      </c>
      <c r="C7" s="781"/>
      <c r="E7" s="780" t="str">
        <f>Simulation!$D$9</f>
        <v>Moyen</v>
      </c>
      <c r="F7" s="781"/>
      <c r="H7" s="780" t="str">
        <f>Simulation!$D$9</f>
        <v>Moyen</v>
      </c>
      <c r="I7" s="781"/>
    </row>
    <row r="8" spans="1:12" s="43" customFormat="1" ht="15.75" customHeight="1" thickBot="1" x14ac:dyDescent="0.3">
      <c r="A8" s="126" t="s">
        <v>136</v>
      </c>
      <c r="B8" s="773">
        <f>IF(AND($B$6="Homme",$B$7="Moyen"),LOOKUP($B$5,EV!$B$16:$B$23,EV!$C$16:$C$23),IF(AND($B$6="Femme",$B$7="Moyen"),LOOKUP($B$5,EV!$B$16:$B$23,EV!$D$16:$D$23),IF(AND($B$6="Neutre",$B$7="Moyen"),LOOKUP($B$5,EV!$B$16:$B$23,EV!$E$16:$E$23),IF(AND($B$6="Homme",$B$7="Cadre"),LOOKUP($B$5,EV!$B$16:$B$23,EV!$F$16:$F$23),IF(AND($B$6="Femme",$B$7="Cadre"),LOOKUP($B$5,EV!$B$16:$B$23,EV!$G$16:$G$23),IF(AND($B$6="Neutre",$B$7="Cadre"),LOOKUP($B$5,EV!$B$16:$B$23,EV!$H$16:$H$23),IF(AND($B$6="Homme",$B$7="Ouvrier"),LOOKUP($B$5,EV!$B$16:$B$23,EV!$I$16:$I$23),IF(AND($B$6="Femme",$B$7="Ouvrier"),LOOKUP($B$5,EV!$B$16:$B$23,EV!$J$16:$J$23),LOOKUP($B$5,EV!$B$16:$B$23,EV!$K$16:$K$23)))))))))</f>
        <v>91.05329307138409</v>
      </c>
      <c r="C8" s="774"/>
      <c r="D8" s="92"/>
      <c r="E8" s="773">
        <f>IF(AND($B$6="Homme",$B$7="Moyen"),LOOKUP($B$5,EV!$B$16:$B$23,EV!$C$16:$C$23),IF(AND($B$6="Femme",$B$7="Moyen"),LOOKUP($B$5,EV!$B$16:$B$23,EV!$D$16:$D$23),IF(AND($B$6="Neutre",$B$7="Moyen"),LOOKUP($B$5,EV!$B$16:$B$23,EV!$E$16:$E$23),IF(AND($B$6="Homme",$B$7="Cadre"),LOOKUP($B$5,EV!$B$16:$B$23,EV!$F$16:$F$23),IF(AND($B$6="Femme",$B$7="Cadre"),LOOKUP($B$5,EV!$B$16:$B$23,EV!$G$16:$G$23),IF(AND($B$6="Neutre",$B$7="Cadre"),LOOKUP($B$5,EV!$B$16:$B$23,EV!$H$16:$H$23),IF(AND($B$6="Homme",$B$7="Ouvrier"),LOOKUP($B$5,EV!$B$16:$B$23,EV!$I$16:$I$23),IF(AND($B$6="Femme",$B$7="Ouvrier"),LOOKUP($B$5,EV!$B$16:$B$23,EV!$J$16:$J$23),LOOKUP($B$5,EV!$B$16:$B$23,EV!$K$16:$K$23)))))))))</f>
        <v>91.05329307138409</v>
      </c>
      <c r="F8" s="774"/>
      <c r="H8" s="773">
        <f>IF(AND($B$6="Homme",$B$7="Moyen"),LOOKUP($B$5,EV!$B$16:$B$23,EV!$C$16:$C$23),IF(AND($B$6="Femme",$B$7="Moyen"),LOOKUP($B$5,EV!$B$16:$B$23,EV!$D$16:$D$23),IF(AND($B$6="Neutre",$B$7="Moyen"),LOOKUP($B$5,EV!$B$16:$B$23,EV!$E$16:$E$23),IF(AND($B$6="Homme",$B$7="Cadre"),LOOKUP($B$5,EV!$B$16:$B$23,EV!$F$16:$F$23),IF(AND($B$6="Femme",$B$7="Cadre"),LOOKUP($B$5,EV!$B$16:$B$23,EV!$G$16:$G$23),IF(AND($B$6="Neutre",$B$7="Cadre"),LOOKUP($B$5,EV!$B$16:$B$23,EV!$H$16:$H$23),IF(AND($B$6="Homme",$B$7="Ouvrier"),LOOKUP($B$5,EV!$B$16:$B$23,EV!$I$16:$I$23),IF(AND($B$6="Femme",$B$7="Ouvrier"),LOOKUP($B$5,EV!$B$16:$B$23,EV!$J$16:$J$23),LOOKUP($B$5,EV!$B$16:$B$23,EV!$K$16:$K$23)))))))))</f>
        <v>91.05329307138409</v>
      </c>
      <c r="I8" s="774"/>
    </row>
    <row r="9" spans="1:12" ht="15.75" customHeight="1" thickBot="1" x14ac:dyDescent="0.3"/>
    <row r="10" spans="1:12" ht="15.75" customHeight="1" thickBot="1" x14ac:dyDescent="0.3">
      <c r="B10" s="117" t="s">
        <v>105</v>
      </c>
      <c r="C10" s="119" t="s">
        <v>106</v>
      </c>
      <c r="E10" s="117" t="s">
        <v>105</v>
      </c>
      <c r="F10" s="119" t="s">
        <v>106</v>
      </c>
      <c r="H10" s="117" t="s">
        <v>105</v>
      </c>
      <c r="I10" s="119" t="s">
        <v>106</v>
      </c>
    </row>
    <row r="11" spans="1:12" s="4" customFormat="1" ht="15.75" customHeight="1" thickBot="1" x14ac:dyDescent="0.3">
      <c r="A11" s="169" t="s">
        <v>32</v>
      </c>
      <c r="B11" s="170">
        <f ca="1">IRR(B12:B95)</f>
        <v>1.9010103082353957E-2</v>
      </c>
      <c r="C11" s="171">
        <f ca="1">IRR(C12:C95)</f>
        <v>1.5921303651225571E-2</v>
      </c>
      <c r="E11" s="170">
        <f>IRR(E12:E95)</f>
        <v>2.4931994606934182E-2</v>
      </c>
      <c r="F11" s="171">
        <f ca="1">IRR(F12:F95)</f>
        <v>2.1937780036106247E-2</v>
      </c>
      <c r="H11" s="170">
        <f ca="1">IRR(H12:H95)</f>
        <v>4.5579200761911576E-3</v>
      </c>
      <c r="I11" s="171">
        <f ca="1">IRR(I12:I95)</f>
        <v>1.1634813406378175E-3</v>
      </c>
    </row>
    <row r="12" spans="1:12" s="43" customFormat="1" ht="15.75" customHeight="1" x14ac:dyDescent="0.25">
      <c r="A12" s="124">
        <f>Cot_droits!A17</f>
        <v>2017</v>
      </c>
      <c r="B12" s="129">
        <f>IF($A12&lt;$B$5+$B$4,-LOOKUP($A12,Cot_droits!$A$17:$A$68,Cot_droits!$Q$17:$Q$68)/LOOKUP($A12,Barèmes!$A$65:$A$148,Barèmes!$C$65:$C$148),IF(AND($A12&gt;=$B$5+$B$4,$A12&lt;=INT($B$8)+$B$4-1),LOOKUP($A12,Retraite!$A$7:$A$47,Retraite!$K$7:$K$47)/LOOKUP($A12,Barèmes!$A$65:$A$148,Barèmes!$C$65:$C$148),IF($A12=INT($B$8+$B$4),(LOOKUP($A12,Retraite!$A$7:$A$47,Retraite!$K$7:$K$47)/LOOKUP($A12,Barèmes!$A$65:$A$148,Barèmes!$C$65:$C$148))*(1-(INT($B$8+1)-$B$8)),0)))</f>
        <v>0</v>
      </c>
      <c r="C12" s="130">
        <f>IF($A12&lt;$B$5+$B$4,-LOOKUP($A12,Cot_droits!$A$17:$A$68,Cot_droits!$Q$17:$Q$68)/LOOKUP($A12,Barèmes!$A$65:$A$148,Barèmes!$C$65:$C$148),IF(AND($A12&gt;=$B$5+$B$4,$A12&lt;=INT($B$8)-1+$B$4),LOOKUP($A12,Retraite!$A$7:$A$47,Retraite!N$7:$N$47)/LOOKUP($A12,Barèmes!$A$65:$A$148,Barèmes!$C$65:$C$148),IF($A12=INT($B$8+$B$4),(LOOKUP($A12,Retraite!$A$7:$A$47,Retraite!$N$7:$N$47)/LOOKUP($A12,Barèmes!$A$65:$A$148,Barèmes!$C$65:$C$148))*(1-(INT($B$8)+1-$B$8)),0)))</f>
        <v>0</v>
      </c>
      <c r="E12" s="129">
        <f>IF($A12&lt;$B$5+$B$4,-(LOOKUP($A12,Cot_droits!$A$17:$A$68,Cot_droits!$H$17:$H$68)+LOOKUP($A12,Cot_droits!$A$17:$A$68,Cot_droits!$L$17:$L$68))/LOOKUP($A12,Barèmes!$A$65:$A$148,Barèmes!$C$65:$C$148),IF(AND($A12&gt;=$B$5+$B$4,$A12&lt;=INT($B$8)-1+$B$4),LOOKUP($A12,Retraite!$A$7:$A$47,Retraite!$L$7:$L$47)/LOOKUP($A12,Barèmes!$A$65:$A$148,Barèmes!$C$65:$C$148),IF($A12=INT($B$8+$B$4),(LOOKUP($A12,Retraite!$A$7:$A$47,Retraite!$L$7:$L$47)/LOOKUP($A12,Barèmes!$A$65:$A$148,Barèmes!$C$65:$C$148))*(1-(INT($B$8)+1-$B$8)),0)))</f>
        <v>0</v>
      </c>
      <c r="F12" s="130">
        <f>IF($A12&lt;$B$5+$B$4,-(LOOKUP($A12,Cot_droits!$A$17:$A$68,Cot_droits!$H$17:$H$68)+LOOKUP($A12,Cot_droits!$A$17:$A$68,Cot_droits!$L$17:$L$68))/LOOKUP($A12,Barèmes!$A$65:$A$148,Barèmes!$C$65:$C$148),IF(AND($A12&gt;=$B$5+$B$4,$A12&lt;=INT($B$8)-1+$B$4),LOOKUP($A12,Retraite!$A$7:$A$47,Retraite!$P$7:P$47)/LOOKUP($A12,Barèmes!$A$65:$A$148,Barèmes!$C$65:$C$148),IF($A12=INT($B$8+$B$4),(LOOKUP($A12,Retraite!$A$7:$A$47,Retraite!$P$7:$P$47)/LOOKUP($A12,Barèmes!$A$65:$A$148,Barèmes!$C$65:$C$148))*(1-(INT($B$8)+1-$B$8)),0)))</f>
        <v>0</v>
      </c>
      <c r="H12" s="129">
        <f>IF($A12&lt;$B$5+$B$4,-(LOOKUP($A12,Cot_droits!$A$17:$A$68,Cot_droits!$I$17:$I$68)+LOOKUP($A12,Cot_droits!$A$17:$A$68,Cot_droits!$J$17:$J$68)+LOOKUP($A12,Cot_droits!$A$17:$A$68,Cot_droits!$N$17:$N$68))/LOOKUP($A12,Barèmes!$A$65:$A$148,Barèmes!$C$65:$C$148),IF(AND($A12&gt;=$B$5+$B$4,$A12&lt;=INT($B$8)-1+$B$4),LOOKUP($A12,Retraite!$A$7:$A$47,Retraite!$M$7:$M$47)/LOOKUP($A12,Barèmes!$A$65:$A$148,Barèmes!$C$65:$C$148),IF($A12=INT($B$8+$B$4),(LOOKUP($A12,Retraite!$A$7:$A$47,Retraite!$M$7:$M$47)/LOOKUP($A12,Barèmes!$A$65:$A$148,Barèmes!$C$65:$C$148))*(1-(INT($B$8)+1-$B$8)),0)))</f>
        <v>0</v>
      </c>
      <c r="I12" s="130">
        <f>IF($A12&lt;$B$5+$B$4,-(LOOKUP($A12,Cot_droits!$A$17:$A$68,Cot_droits!$I$17:$I$68)+LOOKUP($A12,Cot_droits!$A$17:$A$68,Cot_droits!$J$17:$J$68)+LOOKUP($A12,Cot_droits!$A$17:$A$68,Cot_droits!$N$17:$N$68))/LOOKUP($A12,Barèmes!$A$65:$A$148,Barèmes!$C$65:$C$148),IF(AND($A12&gt;=$B$5+$B$4,$A12&lt;=INT($B$8)-1+$B$4),LOOKUP($A12,Retraite!$A$7:$A$47,Retraite!$Q$7:Q$47)/LOOKUP($A12,Barèmes!$A$65:$A$148,Barèmes!$C$65:$C$148),IF($A12=INT($B$8+$B$4),(LOOKUP($A12,Retraite!$A$7:$A$47,Retraite!$Q$7:$Q$47)/LOOKUP($A12,Barèmes!$A$65:$A$148,Barèmes!$C$65:$C$148))*(1-(INT($B$8)+1-$B$8)),0)))</f>
        <v>0</v>
      </c>
    </row>
    <row r="13" spans="1:12" s="43" customFormat="1" ht="15.75" customHeight="1" x14ac:dyDescent="0.25">
      <c r="A13" s="125">
        <f>A12+1</f>
        <v>2018</v>
      </c>
      <c r="B13" s="131">
        <f>IF($A13&lt;$B$5+$B$4,-LOOKUP($A13,Cot_droits!$A$17:$A$68,Cot_droits!$Q$17:$Q$68)/LOOKUP($A13,Barèmes!$A$65:$A$148,Barèmes!$C$65:$C$148),IF(AND($A13&gt;=$B$5+$B$4,$A13&lt;=INT($B$8)+$B$4-1),LOOKUP($A13,Retraite!$A$7:$A$47,Retraite!$K$7:$K$47)/LOOKUP($A13,Barèmes!$A$65:$A$148,Barèmes!$C$65:$C$148),IF($A13=INT($B$8+$B$4),(LOOKUP($A13,Retraite!$A$7:$A$47,Retraite!$K$7:$K$47)/LOOKUP($A13,Barèmes!$A$65:$A$148,Barèmes!$C$65:$C$148))*(1-(INT($B$8+1)-$B$8)),0)))</f>
        <v>0</v>
      </c>
      <c r="C13" s="121">
        <f>IF($A13&lt;$B$5+$B$4,-LOOKUP($A13,Cot_droits!$A$17:$A$68,Cot_droits!$Q$17:$Q$68)/LOOKUP($A13,Barèmes!$A$65:$A$148,Barèmes!$C$65:$C$148),IF(AND($A13&gt;=$B$5+$B$4,$A13&lt;=INT($B$8)-1+$B$4),LOOKUP($A13,Retraite!$A$7:$A$47,Retraite!N$7:$N$47)/LOOKUP($A13,Barèmes!$A$65:$A$148,Barèmes!$C$65:$C$148),IF($A13=INT($B$8+$B$4),(LOOKUP($A13,Retraite!$A$7:$A$47,Retraite!$N$7:$N$47)/LOOKUP($A13,Barèmes!$A$65:$A$148,Barèmes!$C$65:$C$148))*(1-(INT($B$8)+1-$B$8)),0)))</f>
        <v>0</v>
      </c>
      <c r="E13" s="131">
        <f>IF($A13&lt;$B$5+$B$4,-(LOOKUP($A13,Cot_droits!$A$17:$A$68,Cot_droits!$H$17:$H$68)+LOOKUP($A13,Cot_droits!$A$17:$A$68,Cot_droits!$L$17:$L$68))/LOOKUP($A13,Barèmes!$A$65:$A$148,Barèmes!$C$65:$C$148),IF(AND($A13&gt;=$B$5+$B$4,$A13&lt;=INT($B$8)-1+$B$4),LOOKUP($A13,Retraite!$A$7:$A$47,Retraite!$L$7:$L$47)/LOOKUP($A13,Barèmes!$A$65:$A$148,Barèmes!$C$65:$C$148),IF($A13=INT($B$8+$B$4),(LOOKUP($A13,Retraite!$A$7:$A$47,Retraite!$L$7:$L$47)/LOOKUP($A13,Barèmes!$A$65:$A$148,Barèmes!$C$65:$C$148))*(1-(INT($B$8)+1-$B$8)),0)))</f>
        <v>0</v>
      </c>
      <c r="F13" s="121">
        <f>IF($A13&lt;$B$5+$B$4,-(LOOKUP($A13,Cot_droits!$A$17:$A$68,Cot_droits!$H$17:$H$68)+LOOKUP($A13,Cot_droits!$A$17:$A$68,Cot_droits!$L$17:$L$68))/LOOKUP($A13,Barèmes!$A$65:$A$148,Barèmes!$C$65:$C$148),IF(AND($A13&gt;=$B$5+$B$4,$A13&lt;=INT($B$8)-1+$B$4),LOOKUP($A13,Retraite!$A$7:$A$47,Retraite!$P$7:P$47)/LOOKUP($A13,Barèmes!$A$65:$A$148,Barèmes!$C$65:$C$148),IF($A13=INT($B$8+$B$4),(LOOKUP($A13,Retraite!$A$7:$A$47,Retraite!$P$7:$P$47)/LOOKUP($A13,Barèmes!$A$65:$A$148,Barèmes!$C$65:$C$148))*(1-(INT($B$8)+1-$B$8)),0)))</f>
        <v>0</v>
      </c>
      <c r="H13" s="131">
        <f>IF($A13&lt;$B$5+$B$4,-(LOOKUP($A13,Cot_droits!$A$17:$A$68,Cot_droits!$I$17:$I$68)+LOOKUP($A13,Cot_droits!$A$17:$A$68,Cot_droits!$J$17:$J$68)+LOOKUP($A13,Cot_droits!$A$17:$A$68,Cot_droits!$N$17:$N$68))/LOOKUP($A13,Barèmes!$A$65:$A$148,Barèmes!$C$65:$C$148),IF(AND($A13&gt;=$B$5+$B$4,$A13&lt;=INT($B$8)-1+$B$4),LOOKUP($A13,Retraite!$A$7:$A$47,Retraite!$M$7:$M$47)/LOOKUP($A13,Barèmes!$A$65:$A$148,Barèmes!$C$65:$C$148),IF($A13=INT($B$8+$B$4),(LOOKUP($A13,Retraite!$A$7:$A$47,Retraite!$M$7:$M$47)/LOOKUP($A13,Barèmes!$A$65:$A$148,Barèmes!$C$65:$C$148))*(1-(INT($B$8)+1-$B$8)),0)))</f>
        <v>0</v>
      </c>
      <c r="I13" s="121">
        <f>IF($A13&lt;$B$5+$B$4,-(LOOKUP($A13,Cot_droits!$A$17:$A$68,Cot_droits!$I$17:$I$68)+LOOKUP($A13,Cot_droits!$A$17:$A$68,Cot_droits!$J$17:$J$68)+LOOKUP($A13,Cot_droits!$A$17:$A$68,Cot_droits!$N$17:$N$68))/LOOKUP($A13,Barèmes!$A$65:$A$148,Barèmes!$C$65:$C$148),IF(AND($A13&gt;=$B$5+$B$4,$A13&lt;=INT($B$8)-1+$B$4),LOOKUP($A13,Retraite!$A$7:$A$47,Retraite!$Q$7:Q$47)/LOOKUP($A13,Barèmes!$A$65:$A$148,Barèmes!$C$65:$C$148),IF($A13=INT($B$8+$B$4),(LOOKUP($A13,Retraite!$A$7:$A$47,Retraite!$Q$7:$Q$47)/LOOKUP($A13,Barèmes!$A$65:$A$148,Barèmes!$C$65:$C$148))*(1-(INT($B$8)+1-$B$8)),0)))</f>
        <v>0</v>
      </c>
    </row>
    <row r="14" spans="1:12" s="43" customFormat="1" ht="15.75" customHeight="1" x14ac:dyDescent="0.25">
      <c r="A14" s="125">
        <f>A13+1</f>
        <v>2019</v>
      </c>
      <c r="B14" s="131">
        <f>IF($A14&lt;$B$5+$B$4,-LOOKUP($A14,Cot_droits!$A$17:$A$68,Cot_droits!$Q$17:$Q$68)/LOOKUP($A14,Barèmes!$A$65:$A$148,Barèmes!$C$65:$C$148),IF(AND($A14&gt;=$B$5+$B$4,$A14&lt;=INT($B$8)+$B$4-1),LOOKUP($A14,Retraite!$A$7:$A$47,Retraite!$K$7:$K$47)/LOOKUP($A14,Barèmes!$A$65:$A$148,Barèmes!$C$65:$C$148),IF($A14=INT($B$8+$B$4),(LOOKUP($A14,Retraite!$A$7:$A$47,Retraite!$K$7:$K$47)/LOOKUP($A14,Barèmes!$A$65:$A$148,Barèmes!$C$65:$C$148))*(1-(INT($B$8+1)-$B$8)),0)))</f>
        <v>0</v>
      </c>
      <c r="C14" s="121">
        <f>IF($A14&lt;$B$5+$B$4,-LOOKUP($A14,Cot_droits!$A$17:$A$68,Cot_droits!$Q$17:$Q$68)/LOOKUP($A14,Barèmes!$A$65:$A$148,Barèmes!$C$65:$C$148),IF(AND($A14&gt;=$B$5+$B$4,$A14&lt;=INT($B$8)-1+$B$4),LOOKUP($A14,Retraite!$A$7:$A$47,Retraite!N$7:$N$47)/LOOKUP($A14,Barèmes!$A$65:$A$148,Barèmes!$C$65:$C$148),IF($A14=INT($B$8+$B$4),(LOOKUP($A14,Retraite!$A$7:$A$47,Retraite!$N$7:$N$47)/LOOKUP($A14,Barèmes!$A$65:$A$148,Barèmes!$C$65:$C$148))*(1-(INT($B$8)+1-$B$8)),0)))</f>
        <v>0</v>
      </c>
      <c r="E14" s="131">
        <f>IF($A14&lt;$B$5+$B$4,-(LOOKUP($A14,Cot_droits!$A$17:$A$68,Cot_droits!$H$17:$H$68)+LOOKUP($A14,Cot_droits!$A$17:$A$68,Cot_droits!$L$17:$L$68))/LOOKUP($A14,Barèmes!$A$65:$A$148,Barèmes!$C$65:$C$148),IF(AND($A14&gt;=$B$5+$B$4,$A14&lt;=INT($B$8)-1+$B$4),LOOKUP($A14,Retraite!$A$7:$A$47,Retraite!$L$7:$L$47)/LOOKUP($A14,Barèmes!$A$65:$A$148,Barèmes!$C$65:$C$148),IF($A14=INT($B$8+$B$4),(LOOKUP($A14,Retraite!$A$7:$A$47,Retraite!$L$7:$L$47)/LOOKUP($A14,Barèmes!$A$65:$A$148,Barèmes!$C$65:$C$148))*(1-(INT($B$8)+1-$B$8)),0)))</f>
        <v>0</v>
      </c>
      <c r="F14" s="121">
        <f>IF($A14&lt;$B$5+$B$4,-(LOOKUP($A14,Cot_droits!$A$17:$A$68,Cot_droits!$H$17:$H$68)+LOOKUP($A14,Cot_droits!$A$17:$A$68,Cot_droits!$L$17:$L$68))/LOOKUP($A14,Barèmes!$A$65:$A$148,Barèmes!$C$65:$C$148),IF(AND($A14&gt;=$B$5+$B$4,$A14&lt;=INT($B$8)-1+$B$4),LOOKUP($A14,Retraite!$A$7:$A$47,Retraite!$P$7:P$47)/LOOKUP($A14,Barèmes!$A$65:$A$148,Barèmes!$C$65:$C$148),IF($A14=INT($B$8+$B$4),(LOOKUP($A14,Retraite!$A$7:$A$47,Retraite!$P$7:$P$47)/LOOKUP($A14,Barèmes!$A$65:$A$148,Barèmes!$C$65:$C$148))*(1-(INT($B$8)+1-$B$8)),0)))</f>
        <v>0</v>
      </c>
      <c r="H14" s="131">
        <f>IF($A14&lt;$B$5+$B$4,-(LOOKUP($A14,Cot_droits!$A$17:$A$68,Cot_droits!$I$17:$I$68)+LOOKUP($A14,Cot_droits!$A$17:$A$68,Cot_droits!$J$17:$J$68)+LOOKUP($A14,Cot_droits!$A$17:$A$68,Cot_droits!$N$17:$N$68))/LOOKUP($A14,Barèmes!$A$65:$A$148,Barèmes!$C$65:$C$148),IF(AND($A14&gt;=$B$5+$B$4,$A14&lt;=INT($B$8)-1+$B$4),LOOKUP($A14,Retraite!$A$7:$A$47,Retraite!$M$7:$M$47)/LOOKUP($A14,Barèmes!$A$65:$A$148,Barèmes!$C$65:$C$148),IF($A14=INT($B$8+$B$4),(LOOKUP($A14,Retraite!$A$7:$A$47,Retraite!$M$7:$M$47)/LOOKUP($A14,Barèmes!$A$65:$A$148,Barèmes!$C$65:$C$148))*(1-(INT($B$8)+1-$B$8)),0)))</f>
        <v>0</v>
      </c>
      <c r="I14" s="121">
        <f>IF($A14&lt;$B$5+$B$4,-(LOOKUP($A14,Cot_droits!$A$17:$A$68,Cot_droits!$I$17:$I$68)+LOOKUP($A14,Cot_droits!$A$17:$A$68,Cot_droits!$J$17:$J$68)+LOOKUP($A14,Cot_droits!$A$17:$A$68,Cot_droits!$N$17:$N$68))/LOOKUP($A14,Barèmes!$A$65:$A$148,Barèmes!$C$65:$C$148),IF(AND($A14&gt;=$B$5+$B$4,$A14&lt;=INT($B$8)-1+$B$4),LOOKUP($A14,Retraite!$A$7:$A$47,Retraite!$Q$7:Q$47)/LOOKUP($A14,Barèmes!$A$65:$A$148,Barèmes!$C$65:$C$148),IF($A14=INT($B$8+$B$4),(LOOKUP($A14,Retraite!$A$7:$A$47,Retraite!$Q$7:$Q$47)/LOOKUP($A14,Barèmes!$A$65:$A$148,Barèmes!$C$65:$C$148))*(1-(INT($B$8)+1-$B$8)),0)))</f>
        <v>0</v>
      </c>
    </row>
    <row r="15" spans="1:12" s="43" customFormat="1" ht="15.75" customHeight="1" x14ac:dyDescent="0.25">
      <c r="A15" s="125">
        <f t="shared" ref="A15:A77" si="0">A14+1</f>
        <v>2020</v>
      </c>
      <c r="B15" s="131">
        <f>IF($A15&lt;$B$5+$B$4,-LOOKUP($A15,Cot_droits!$A$17:$A$68,Cot_droits!$Q$17:$Q$68)/LOOKUP($A15,Barèmes!$A$65:$A$148,Barèmes!$C$65:$C$148),IF(AND($A15&gt;=$B$5+$B$4,$A15&lt;=INT($B$8)+$B$4-1),LOOKUP($A15,Retraite!$A$7:$A$47,Retraite!$K$7:$K$47)/LOOKUP($A15,Barèmes!$A$65:$A$148,Barèmes!$C$65:$C$148),IF($A15=INT($B$8+$B$4),(LOOKUP($A15,Retraite!$A$7:$A$47,Retraite!$K$7:$K$47)/LOOKUP($A15,Barèmes!$A$65:$A$148,Barèmes!$C$65:$C$148))*(1-(INT($B$8+1)-$B$8)),0)))</f>
        <v>0</v>
      </c>
      <c r="C15" s="121">
        <f>IF($A15&lt;$B$5+$B$4,-LOOKUP($A15,Cot_droits!$A$17:$A$68,Cot_droits!$Q$17:$Q$68)/LOOKUP($A15,Barèmes!$A$65:$A$148,Barèmes!$C$65:$C$148),IF(AND($A15&gt;=$B$5+$B$4,$A15&lt;=INT($B$8)-1+$B$4),LOOKUP($A15,Retraite!$A$7:$A$47,Retraite!N$7:$N$47)/LOOKUP($A15,Barèmes!$A$65:$A$148,Barèmes!$C$65:$C$148),IF($A15=INT($B$8+$B$4),(LOOKUP($A15,Retraite!$A$7:$A$47,Retraite!$N$7:$N$47)/LOOKUP($A15,Barèmes!$A$65:$A$148,Barèmes!$C$65:$C$148))*(1-(INT($B$8)+1-$B$8)),0)))</f>
        <v>0</v>
      </c>
      <c r="E15" s="131">
        <f>IF($A15&lt;$B$5+$B$4,-(LOOKUP($A15,Cot_droits!$A$17:$A$68,Cot_droits!$H$17:$H$68)+LOOKUP($A15,Cot_droits!$A$17:$A$68,Cot_droits!$L$17:$L$68))/LOOKUP($A15,Barèmes!$A$65:$A$148,Barèmes!$C$65:$C$148),IF(AND($A15&gt;=$B$5+$B$4,$A15&lt;=INT($B$8)-1+$B$4),LOOKUP($A15,Retraite!$A$7:$A$47,Retraite!$L$7:$L$47)/LOOKUP($A15,Barèmes!$A$65:$A$148,Barèmes!$C$65:$C$148),IF($A15=INT($B$8+$B$4),(LOOKUP($A15,Retraite!$A$7:$A$47,Retraite!$L$7:$L$47)/LOOKUP($A15,Barèmes!$A$65:$A$148,Barèmes!$C$65:$C$148))*(1-(INT($B$8)+1-$B$8)),0)))</f>
        <v>0</v>
      </c>
      <c r="F15" s="121">
        <f>IF($A15&lt;$B$5+$B$4,-(LOOKUP($A15,Cot_droits!$A$17:$A$68,Cot_droits!$H$17:$H$68)+LOOKUP($A15,Cot_droits!$A$17:$A$68,Cot_droits!$L$17:$L$68))/LOOKUP($A15,Barèmes!$A$65:$A$148,Barèmes!$C$65:$C$148),IF(AND($A15&gt;=$B$5+$B$4,$A15&lt;=INT($B$8)-1+$B$4),LOOKUP($A15,Retraite!$A$7:$A$47,Retraite!$P$7:P$47)/LOOKUP($A15,Barèmes!$A$65:$A$148,Barèmes!$C$65:$C$148),IF($A15=INT($B$8+$B$4),(LOOKUP($A15,Retraite!$A$7:$A$47,Retraite!$P$7:$P$47)/LOOKUP($A15,Barèmes!$A$65:$A$148,Barèmes!$C$65:$C$148))*(1-(INT($B$8)+1-$B$8)),0)))</f>
        <v>0</v>
      </c>
      <c r="H15" s="131">
        <f>IF($A15&lt;$B$5+$B$4,-(LOOKUP($A15,Cot_droits!$A$17:$A$68,Cot_droits!$I$17:$I$68)+LOOKUP($A15,Cot_droits!$A$17:$A$68,Cot_droits!$J$17:$J$68)+LOOKUP($A15,Cot_droits!$A$17:$A$68,Cot_droits!$N$17:$N$68))/LOOKUP($A15,Barèmes!$A$65:$A$148,Barèmes!$C$65:$C$148),IF(AND($A15&gt;=$B$5+$B$4,$A15&lt;=INT($B$8)-1+$B$4),LOOKUP($A15,Retraite!$A$7:$A$47,Retraite!$M$7:$M$47)/LOOKUP($A15,Barèmes!$A$65:$A$148,Barèmes!$C$65:$C$148),IF($A15=INT($B$8+$B$4),(LOOKUP($A15,Retraite!$A$7:$A$47,Retraite!$M$7:$M$47)/LOOKUP($A15,Barèmes!$A$65:$A$148,Barèmes!$C$65:$C$148))*(1-(INT($B$8)+1-$B$8)),0)))</f>
        <v>0</v>
      </c>
      <c r="I15" s="121">
        <f>IF($A15&lt;$B$5+$B$4,-(LOOKUP($A15,Cot_droits!$A$17:$A$68,Cot_droits!$I$17:$I$68)+LOOKUP($A15,Cot_droits!$A$17:$A$68,Cot_droits!$J$17:$J$68)+LOOKUP($A15,Cot_droits!$A$17:$A$68,Cot_droits!$N$17:$N$68))/LOOKUP($A15,Barèmes!$A$65:$A$148,Barèmes!$C$65:$C$148),IF(AND($A15&gt;=$B$5+$B$4,$A15&lt;=INT($B$8)-1+$B$4),LOOKUP($A15,Retraite!$A$7:$A$47,Retraite!$Q$7:Q$47)/LOOKUP($A15,Barèmes!$A$65:$A$148,Barèmes!$C$65:$C$148),IF($A15=INT($B$8+$B$4),(LOOKUP($A15,Retraite!$A$7:$A$47,Retraite!$Q$7:$Q$47)/LOOKUP($A15,Barèmes!$A$65:$A$148,Barèmes!$C$65:$C$148))*(1-(INT($B$8)+1-$B$8)),0)))</f>
        <v>0</v>
      </c>
      <c r="J15" s="115"/>
      <c r="K15" s="115"/>
      <c r="L15" s="115"/>
    </row>
    <row r="16" spans="1:12" s="43" customFormat="1" ht="15.75" customHeight="1" x14ac:dyDescent="0.25">
      <c r="A16" s="125">
        <f t="shared" si="0"/>
        <v>2021</v>
      </c>
      <c r="B16" s="131">
        <f>IF($A16&lt;$B$5+$B$4,-LOOKUP($A16,Cot_droits!$A$17:$A$68,Cot_droits!$Q$17:$Q$68)/LOOKUP($A16,Barèmes!$A$65:$A$148,Barèmes!$C$65:$C$148),IF(AND($A16&gt;=$B$5+$B$4,$A16&lt;=INT($B$8)+$B$4-1),LOOKUP($A16,Retraite!$A$7:$A$47,Retraite!$K$7:$K$47)/LOOKUP($A16,Barèmes!$A$65:$A$148,Barèmes!$C$65:$C$148),IF($A16=INT($B$8+$B$4),(LOOKUP($A16,Retraite!$A$7:$A$47,Retraite!$K$7:$K$47)/LOOKUP($A16,Barèmes!$A$65:$A$148,Barèmes!$C$65:$C$148))*(1-(INT($B$8+1)-$B$8)),0)))</f>
        <v>-1643.116438940423</v>
      </c>
      <c r="C16" s="121">
        <f>IF($A16&lt;$B$5+$B$4,-LOOKUP($A16,Cot_droits!$A$17:$A$68,Cot_droits!$Q$17:$Q$68)/LOOKUP($A16,Barèmes!$A$65:$A$148,Barèmes!$C$65:$C$148),IF(AND($A16&gt;=$B$5+$B$4,$A16&lt;=INT($B$8)-1+$B$4),LOOKUP($A16,Retraite!$A$7:$A$47,Retraite!N$7:$N$47)/LOOKUP($A16,Barèmes!$A$65:$A$148,Barèmes!$C$65:$C$148),IF($A16=INT($B$8+$B$4),(LOOKUP($A16,Retraite!$A$7:$A$47,Retraite!$N$7:$N$47)/LOOKUP($A16,Barèmes!$A$65:$A$148,Barèmes!$C$65:$C$148))*(1-(INT($B$8)+1-$B$8)),0)))</f>
        <v>-1643.116438940423</v>
      </c>
      <c r="E16" s="131">
        <f>IF($A16&lt;$B$5+$B$4,-(LOOKUP($A16,Cot_droits!$A$17:$A$68,Cot_droits!$H$17:$H$68)+LOOKUP($A16,Cot_droits!$A$17:$A$68,Cot_droits!$L$17:$L$68))/LOOKUP($A16,Barèmes!$A$65:$A$148,Barèmes!$C$65:$C$148),IF(AND($A16&gt;=$B$5+$B$4,$A16&lt;=INT($B$8)-1+$B$4),LOOKUP($A16,Retraite!$A$7:$A$47,Retraite!$L$7:$L$47)/LOOKUP($A16,Barèmes!$A$65:$A$148,Barèmes!$C$65:$C$148),IF($A16=INT($B$8+$B$4),(LOOKUP($A16,Retraite!$A$7:$A$47,Retraite!$L$7:$L$47)/LOOKUP($A16,Barèmes!$A$65:$A$148,Barèmes!$C$65:$C$148))*(1-(INT($B$8)+1-$B$8)),0)))</f>
        <v>-1060.581276461156</v>
      </c>
      <c r="F16" s="121">
        <f>IF($A16&lt;$B$5+$B$4,-(LOOKUP($A16,Cot_droits!$A$17:$A$68,Cot_droits!$H$17:$H$68)+LOOKUP($A16,Cot_droits!$A$17:$A$68,Cot_droits!$L$17:$L$68))/LOOKUP($A16,Barèmes!$A$65:$A$148,Barèmes!$C$65:$C$148),IF(AND($A16&gt;=$B$5+$B$4,$A16&lt;=INT($B$8)-1+$B$4),LOOKUP($A16,Retraite!$A$7:$A$47,Retraite!$P$7:P$47)/LOOKUP($A16,Barèmes!$A$65:$A$148,Barèmes!$C$65:$C$148),IF($A16=INT($B$8+$B$4),(LOOKUP($A16,Retraite!$A$7:$A$47,Retraite!$P$7:$P$47)/LOOKUP($A16,Barèmes!$A$65:$A$148,Barèmes!$C$65:$C$148))*(1-(INT($B$8)+1-$B$8)),0)))</f>
        <v>-1060.581276461156</v>
      </c>
      <c r="H16" s="131">
        <f>IF($A16&lt;$B$5+$B$4,-(LOOKUP($A16,Cot_droits!$A$17:$A$68,Cot_droits!$I$17:$I$68)+LOOKUP($A16,Cot_droits!$A$17:$A$68,Cot_droits!$J$17:$J$68)+LOOKUP($A16,Cot_droits!$A$17:$A$68,Cot_droits!$N$17:$N$68))/LOOKUP($A16,Barèmes!$A$65:$A$148,Barèmes!$C$65:$C$148),IF(AND($A16&gt;=$B$5+$B$4,$A16&lt;=INT($B$8)-1+$B$4),LOOKUP($A16,Retraite!$A$7:$A$47,Retraite!$M$7:$M$47)/LOOKUP($A16,Barèmes!$A$65:$A$148,Barèmes!$C$65:$C$148),IF($A16=INT($B$8+$B$4),(LOOKUP($A16,Retraite!$A$7:$A$47,Retraite!$M$7:$M$47)/LOOKUP($A16,Barèmes!$A$65:$A$148,Barèmes!$C$65:$C$148))*(1-(INT($B$8)+1-$B$8)),0)))</f>
        <v>-582.53516247926711</v>
      </c>
      <c r="I16" s="121">
        <f>IF($A16&lt;$B$5+$B$4,-(LOOKUP($A16,Cot_droits!$A$17:$A$68,Cot_droits!$I$17:$I$68)+LOOKUP($A16,Cot_droits!$A$17:$A$68,Cot_droits!$J$17:$J$68)+LOOKUP($A16,Cot_droits!$A$17:$A$68,Cot_droits!$N$17:$N$68))/LOOKUP($A16,Barèmes!$A$65:$A$148,Barèmes!$C$65:$C$148),IF(AND($A16&gt;=$B$5+$B$4,$A16&lt;=INT($B$8)-1+$B$4),LOOKUP($A16,Retraite!$A$7:$A$47,Retraite!$Q$7:Q$47)/LOOKUP($A16,Barèmes!$A$65:$A$148,Barèmes!$C$65:$C$148),IF($A16=INT($B$8+$B$4),(LOOKUP($A16,Retraite!$A$7:$A$47,Retraite!$Q$7:$Q$47)/LOOKUP($A16,Barèmes!$A$65:$A$148,Barèmes!$C$65:$C$148))*(1-(INT($B$8)+1-$B$8)),0)))</f>
        <v>-582.53516247926711</v>
      </c>
      <c r="J16" s="115"/>
      <c r="K16" s="115"/>
      <c r="L16" s="115"/>
    </row>
    <row r="17" spans="1:12" s="43" customFormat="1" ht="15.75" customHeight="1" x14ac:dyDescent="0.25">
      <c r="A17" s="125">
        <f t="shared" si="0"/>
        <v>2022</v>
      </c>
      <c r="B17" s="131">
        <f>IF($A17&lt;$B$5+$B$4,-LOOKUP($A17,Cot_droits!$A$17:$A$68,Cot_droits!$Q$17:$Q$68)/LOOKUP($A17,Barèmes!$A$65:$A$148,Barèmes!$C$65:$C$148),IF(AND($A17&gt;=$B$5+$B$4,$A17&lt;=INT($B$8)+$B$4-1),LOOKUP($A17,Retraite!$A$7:$A$47,Retraite!$K$7:$K$47)/LOOKUP($A17,Barèmes!$A$65:$A$148,Barèmes!$C$65:$C$148),IF($A17=INT($B$8+$B$4),(LOOKUP($A17,Retraite!$A$7:$A$47,Retraite!$K$7:$K$47)/LOOKUP($A17,Barèmes!$A$65:$A$148,Barèmes!$C$65:$C$148))*(1-(INT($B$8+1)-$B$8)),0)))</f>
        <v>-1948.841087572134</v>
      </c>
      <c r="C17" s="121">
        <f>IF($A17&lt;$B$5+$B$4,-LOOKUP($A17,Cot_droits!$A$17:$A$68,Cot_droits!$Q$17:$Q$68)/LOOKUP($A17,Barèmes!$A$65:$A$148,Barèmes!$C$65:$C$148),IF(AND($A17&gt;=$B$5+$B$4,$A17&lt;=INT($B$8)-1+$B$4),LOOKUP($A17,Retraite!$A$7:$A$47,Retraite!N$7:$N$47)/LOOKUP($A17,Barèmes!$A$65:$A$148,Barèmes!$C$65:$C$148),IF($A17=INT($B$8+$B$4),(LOOKUP($A17,Retraite!$A$7:$A$47,Retraite!$N$7:$N$47)/LOOKUP($A17,Barèmes!$A$65:$A$148,Barèmes!$C$65:$C$148))*(1-(INT($B$8)+1-$B$8)),0)))</f>
        <v>-1948.841087572134</v>
      </c>
      <c r="E17" s="131">
        <f>IF($A17&lt;$B$5+$B$4,-(LOOKUP($A17,Cot_droits!$A$17:$A$68,Cot_droits!$H$17:$H$68)+LOOKUP($A17,Cot_droits!$A$17:$A$68,Cot_droits!$L$17:$L$68))/LOOKUP($A17,Barèmes!$A$65:$A$148,Barèmes!$C$65:$C$148),IF(AND($A17&gt;=$B$5+$B$4,$A17&lt;=INT($B$8)-1+$B$4),LOOKUP($A17,Retraite!$A$7:$A$47,Retraite!$L$7:$L$47)/LOOKUP($A17,Barèmes!$A$65:$A$148,Barèmes!$C$65:$C$148),IF($A17=INT($B$8+$B$4),(LOOKUP($A17,Retraite!$A$7:$A$47,Retraite!$L$7:$L$47)/LOOKUP($A17,Barèmes!$A$65:$A$148,Barèmes!$C$65:$C$148))*(1-(INT($B$8)+1-$B$8)),0)))</f>
        <v>-1257.91716234673</v>
      </c>
      <c r="F17" s="121">
        <f>IF($A17&lt;$B$5+$B$4,-(LOOKUP($A17,Cot_droits!$A$17:$A$68,Cot_droits!$H$17:$H$68)+LOOKUP($A17,Cot_droits!$A$17:$A$68,Cot_droits!$L$17:$L$68))/LOOKUP($A17,Barèmes!$A$65:$A$148,Barèmes!$C$65:$C$148),IF(AND($A17&gt;=$B$5+$B$4,$A17&lt;=INT($B$8)-1+$B$4),LOOKUP($A17,Retraite!$A$7:$A$47,Retraite!$P$7:P$47)/LOOKUP($A17,Barèmes!$A$65:$A$148,Barèmes!$C$65:$C$148),IF($A17=INT($B$8+$B$4),(LOOKUP($A17,Retraite!$A$7:$A$47,Retraite!$P$7:$P$47)/LOOKUP($A17,Barèmes!$A$65:$A$148,Barèmes!$C$65:$C$148))*(1-(INT($B$8)+1-$B$8)),0)))</f>
        <v>-1257.91716234673</v>
      </c>
      <c r="H17" s="131">
        <f>IF($A17&lt;$B$5+$B$4,-(LOOKUP($A17,Cot_droits!$A$17:$A$68,Cot_droits!$I$17:$I$68)+LOOKUP($A17,Cot_droits!$A$17:$A$68,Cot_droits!$J$17:$J$68)+LOOKUP($A17,Cot_droits!$A$17:$A$68,Cot_droits!$N$17:$N$68))/LOOKUP($A17,Barèmes!$A$65:$A$148,Barèmes!$C$65:$C$148),IF(AND($A17&gt;=$B$5+$B$4,$A17&lt;=INT($B$8)-1+$B$4),LOOKUP($A17,Retraite!$A$7:$A$47,Retraite!$M$7:$M$47)/LOOKUP($A17,Barèmes!$A$65:$A$148,Barèmes!$C$65:$C$148),IF($A17=INT($B$8+$B$4),(LOOKUP($A17,Retraite!$A$7:$A$47,Retraite!$M$7:$M$47)/LOOKUP($A17,Barèmes!$A$65:$A$148,Barèmes!$C$65:$C$148))*(1-(INT($B$8)+1-$B$8)),0)))</f>
        <v>-690.92392522540399</v>
      </c>
      <c r="I17" s="121">
        <f>IF($A17&lt;$B$5+$B$4,-(LOOKUP($A17,Cot_droits!$A$17:$A$68,Cot_droits!$I$17:$I$68)+LOOKUP($A17,Cot_droits!$A$17:$A$68,Cot_droits!$J$17:$J$68)+LOOKUP($A17,Cot_droits!$A$17:$A$68,Cot_droits!$N$17:$N$68))/LOOKUP($A17,Barèmes!$A$65:$A$148,Barèmes!$C$65:$C$148),IF(AND($A17&gt;=$B$5+$B$4,$A17&lt;=INT($B$8)-1+$B$4),LOOKUP($A17,Retraite!$A$7:$A$47,Retraite!$Q$7:Q$47)/LOOKUP($A17,Barèmes!$A$65:$A$148,Barèmes!$C$65:$C$148),IF($A17=INT($B$8+$B$4),(LOOKUP($A17,Retraite!$A$7:$A$47,Retraite!$Q$7:$Q$47)/LOOKUP($A17,Barèmes!$A$65:$A$148,Barèmes!$C$65:$C$148))*(1-(INT($B$8)+1-$B$8)),0)))</f>
        <v>-690.92392522540399</v>
      </c>
      <c r="J17" s="115"/>
      <c r="K17" s="115"/>
      <c r="L17" s="115"/>
    </row>
    <row r="18" spans="1:12" s="43" customFormat="1" ht="15.75" customHeight="1" x14ac:dyDescent="0.25">
      <c r="A18" s="125">
        <f t="shared" si="0"/>
        <v>2023</v>
      </c>
      <c r="B18" s="131">
        <f>IF($A18&lt;$B$5+$B$4,-LOOKUP($A18,Cot_droits!$A$17:$A$68,Cot_droits!$Q$17:$Q$68)/LOOKUP($A18,Barèmes!$A$65:$A$148,Barèmes!$C$65:$C$148),IF(AND($A18&gt;=$B$5+$B$4,$A18&lt;=INT($B$8)+$B$4-1),LOOKUP($A18,Retraite!$A$7:$A$47,Retraite!$K$7:$K$47)/LOOKUP($A18,Barèmes!$A$65:$A$148,Barèmes!$C$65:$C$148),IF($A18=INT($B$8+$B$4),(LOOKUP($A18,Retraite!$A$7:$A$47,Retraite!$K$7:$K$47)/LOOKUP($A18,Barèmes!$A$65:$A$148,Barèmes!$C$65:$C$148))*(1-(INT($B$8+1)-$B$8)),0)))</f>
        <v>-3798.3992793968023</v>
      </c>
      <c r="C18" s="121">
        <f>IF($A18&lt;$B$5+$B$4,-LOOKUP($A18,Cot_droits!$A$17:$A$68,Cot_droits!$Q$17:$Q$68)/LOOKUP($A18,Barèmes!$A$65:$A$148,Barèmes!$C$65:$C$148),IF(AND($A18&gt;=$B$5+$B$4,$A18&lt;=INT($B$8)-1+$B$4),LOOKUP($A18,Retraite!$A$7:$A$47,Retraite!N$7:$N$47)/LOOKUP($A18,Barèmes!$A$65:$A$148,Barèmes!$C$65:$C$148),IF($A18=INT($B$8+$B$4),(LOOKUP($A18,Retraite!$A$7:$A$47,Retraite!$N$7:$N$47)/LOOKUP($A18,Barèmes!$A$65:$A$148,Barèmes!$C$65:$C$148))*(1-(INT($B$8)+1-$B$8)),0)))</f>
        <v>-3798.3992793968023</v>
      </c>
      <c r="D18" s="115"/>
      <c r="E18" s="131">
        <f>IF($A18&lt;$B$5+$B$4,-(LOOKUP($A18,Cot_droits!$A$17:$A$68,Cot_droits!$H$17:$H$68)+LOOKUP($A18,Cot_droits!$A$17:$A$68,Cot_droits!$L$17:$L$68))/LOOKUP($A18,Barèmes!$A$65:$A$148,Barèmes!$C$65:$C$148),IF(AND($A18&gt;=$B$5+$B$4,$A18&lt;=INT($B$8)-1+$B$4),LOOKUP($A18,Retraite!$A$7:$A$47,Retraite!$L$7:$L$47)/LOOKUP($A18,Barèmes!$A$65:$A$148,Barèmes!$C$65:$C$148),IF($A18=INT($B$8+$B$4),(LOOKUP($A18,Retraite!$A$7:$A$47,Retraite!$L$7:$L$47)/LOOKUP($A18,Barèmes!$A$65:$A$148,Barèmes!$C$65:$C$148))*(1-(INT($B$8)+1-$B$8)),0)))</f>
        <v>-2437.4045963471626</v>
      </c>
      <c r="F18" s="121">
        <f>IF($A18&lt;$B$5+$B$4,-(LOOKUP($A18,Cot_droits!$A$17:$A$68,Cot_droits!$H$17:$H$68)+LOOKUP($A18,Cot_droits!$A$17:$A$68,Cot_droits!$L$17:$L$68))/LOOKUP($A18,Barèmes!$A$65:$A$148,Barèmes!$C$65:$C$148),IF(AND($A18&gt;=$B$5+$B$4,$A18&lt;=INT($B$8)-1+$B$4),LOOKUP($A18,Retraite!$A$7:$A$47,Retraite!$P$7:P$47)/LOOKUP($A18,Barèmes!$A$65:$A$148,Barèmes!$C$65:$C$148),IF($A18=INT($B$8+$B$4),(LOOKUP($A18,Retraite!$A$7:$A$47,Retraite!$P$7:$P$47)/LOOKUP($A18,Barèmes!$A$65:$A$148,Barèmes!$C$65:$C$148))*(1-(INT($B$8)+1-$B$8)),0)))</f>
        <v>-2437.4045963471626</v>
      </c>
      <c r="H18" s="131">
        <f>IF($A18&lt;$B$5+$B$4,-(LOOKUP($A18,Cot_droits!$A$17:$A$68,Cot_droits!$I$17:$I$68)+LOOKUP($A18,Cot_droits!$A$17:$A$68,Cot_droits!$J$17:$J$68)+LOOKUP($A18,Cot_droits!$A$17:$A$68,Cot_droits!$N$17:$N$68))/LOOKUP($A18,Barèmes!$A$65:$A$148,Barèmes!$C$65:$C$148),IF(AND($A18&gt;=$B$5+$B$4,$A18&lt;=INT($B$8)-1+$B$4),LOOKUP($A18,Retraite!$A$7:$A$47,Retraite!$M$7:$M$47)/LOOKUP($A18,Barèmes!$A$65:$A$148,Barèmes!$C$65:$C$148),IF($A18=INT($B$8+$B$4),(LOOKUP($A18,Retraite!$A$7:$A$47,Retraite!$M$7:$M$47)/LOOKUP($A18,Barèmes!$A$65:$A$148,Barèmes!$C$65:$C$148))*(1-(INT($B$8)+1-$B$8)),0)))</f>
        <v>-1360.9946830496397</v>
      </c>
      <c r="I18" s="121">
        <f>IF($A18&lt;$B$5+$B$4,-(LOOKUP($A18,Cot_droits!$A$17:$A$68,Cot_droits!$I$17:$I$68)+LOOKUP($A18,Cot_droits!$A$17:$A$68,Cot_droits!$J$17:$J$68)+LOOKUP($A18,Cot_droits!$A$17:$A$68,Cot_droits!$N$17:$N$68))/LOOKUP($A18,Barèmes!$A$65:$A$148,Barèmes!$C$65:$C$148),IF(AND($A18&gt;=$B$5+$B$4,$A18&lt;=INT($B$8)-1+$B$4),LOOKUP($A18,Retraite!$A$7:$A$47,Retraite!$Q$7:Q$47)/LOOKUP($A18,Barèmes!$A$65:$A$148,Barèmes!$C$65:$C$148),IF($A18=INT($B$8+$B$4),(LOOKUP($A18,Retraite!$A$7:$A$47,Retraite!$Q$7:$Q$47)/LOOKUP($A18,Barèmes!$A$65:$A$148,Barèmes!$C$65:$C$148))*(1-(INT($B$8)+1-$B$8)),0)))</f>
        <v>-1360.9946830496397</v>
      </c>
      <c r="J18" s="115"/>
      <c r="K18" s="115"/>
      <c r="L18" s="115"/>
    </row>
    <row r="19" spans="1:12" s="43" customFormat="1" ht="15.75" customHeight="1" x14ac:dyDescent="0.25">
      <c r="A19" s="125">
        <f t="shared" si="0"/>
        <v>2024</v>
      </c>
      <c r="B19" s="131">
        <f>IF($A19&lt;$B$5+$B$4,-LOOKUP($A19,Cot_droits!$A$17:$A$68,Cot_droits!$Q$17:$Q$68)/LOOKUP($A19,Barèmes!$A$65:$A$148,Barèmes!$C$65:$C$148),IF(AND($A19&gt;=$B$5+$B$4,$A19&lt;=INT($B$8)+$B$4-1),LOOKUP($A19,Retraite!$A$7:$A$47,Retraite!$K$7:$K$47)/LOOKUP($A19,Barèmes!$A$65:$A$148,Barèmes!$C$65:$C$148),IF($A19=INT($B$8+$B$4),(LOOKUP($A19,Retraite!$A$7:$A$47,Retraite!$K$7:$K$47)/LOOKUP($A19,Barèmes!$A$65:$A$148,Barèmes!$C$65:$C$148))*(1-(INT($B$8+1)-$B$8)),0)))</f>
        <v>-4773.3386409533005</v>
      </c>
      <c r="C19" s="121">
        <f>IF($A19&lt;$B$5+$B$4,-LOOKUP($A19,Cot_droits!$A$17:$A$68,Cot_droits!$Q$17:$Q$68)/LOOKUP($A19,Barèmes!$A$65:$A$148,Barèmes!$C$65:$C$148),IF(AND($A19&gt;=$B$5+$B$4,$A19&lt;=INT($B$8)-1+$B$4),LOOKUP($A19,Retraite!$A$7:$A$47,Retraite!N$7:$N$47)/LOOKUP($A19,Barèmes!$A$65:$A$148,Barèmes!$C$65:$C$148),IF($A19=INT($B$8+$B$4),(LOOKUP($A19,Retraite!$A$7:$A$47,Retraite!$N$7:$N$47)/LOOKUP($A19,Barèmes!$A$65:$A$148,Barèmes!$C$65:$C$148))*(1-(INT($B$8)+1-$B$8)),0)))</f>
        <v>-4773.3386409533005</v>
      </c>
      <c r="D19" s="115"/>
      <c r="E19" s="131">
        <f>IF($A19&lt;$B$5+$B$4,-(LOOKUP($A19,Cot_droits!$A$17:$A$68,Cot_droits!$H$17:$H$68)+LOOKUP($A19,Cot_droits!$A$17:$A$68,Cot_droits!$L$17:$L$68))/LOOKUP($A19,Barèmes!$A$65:$A$148,Barèmes!$C$65:$C$148),IF(AND($A19&gt;=$B$5+$B$4,$A19&lt;=INT($B$8)-1+$B$4),LOOKUP($A19,Retraite!$A$7:$A$47,Retraite!$L$7:$L$47)/LOOKUP($A19,Barèmes!$A$65:$A$148,Barèmes!$C$65:$C$148),IF($A19=INT($B$8+$B$4),(LOOKUP($A19,Retraite!$A$7:$A$47,Retraite!$L$7:$L$47)/LOOKUP($A19,Barèmes!$A$65:$A$148,Barèmes!$C$65:$C$148))*(1-(INT($B$8)+1-$B$8)),0)))</f>
        <v>-3058.3513414403174</v>
      </c>
      <c r="F19" s="121">
        <f>IF($A19&lt;$B$5+$B$4,-(LOOKUP($A19,Cot_droits!$A$17:$A$68,Cot_droits!$H$17:$H$68)+LOOKUP($A19,Cot_droits!$A$17:$A$68,Cot_droits!$L$17:$L$68))/LOOKUP($A19,Barèmes!$A$65:$A$148,Barèmes!$C$65:$C$148),IF(AND($A19&gt;=$B$5+$B$4,$A19&lt;=INT($B$8)-1+$B$4),LOOKUP($A19,Retraite!$A$7:$A$47,Retraite!$P$7:P$47)/LOOKUP($A19,Barèmes!$A$65:$A$148,Barèmes!$C$65:$C$148),IF($A19=INT($B$8+$B$4),(LOOKUP($A19,Retraite!$A$7:$A$47,Retraite!$P$7:$P$47)/LOOKUP($A19,Barèmes!$A$65:$A$148,Barèmes!$C$65:$C$148))*(1-(INT($B$8)+1-$B$8)),0)))</f>
        <v>-3058.3513414403174</v>
      </c>
      <c r="H19" s="131">
        <f>IF($A19&lt;$B$5+$B$4,-(LOOKUP($A19,Cot_droits!$A$17:$A$68,Cot_droits!$I$17:$I$68)+LOOKUP($A19,Cot_droits!$A$17:$A$68,Cot_droits!$J$17:$J$68)+LOOKUP($A19,Cot_droits!$A$17:$A$68,Cot_droits!$N$17:$N$68))/LOOKUP($A19,Barèmes!$A$65:$A$148,Barèmes!$C$65:$C$148),IF(AND($A19&gt;=$B$5+$B$4,$A19&lt;=INT($B$8)-1+$B$4),LOOKUP($A19,Retraite!$A$7:$A$47,Retraite!$M$7:$M$47)/LOOKUP($A19,Barèmes!$A$65:$A$148,Barèmes!$C$65:$C$148),IF($A19=INT($B$8+$B$4),(LOOKUP($A19,Retraite!$A$7:$A$47,Retraite!$M$7:$M$47)/LOOKUP($A19,Barèmes!$A$65:$A$148,Barèmes!$C$65:$C$148))*(1-(INT($B$8)+1-$B$8)),0)))</f>
        <v>-1714.9872995129826</v>
      </c>
      <c r="I19" s="121">
        <f>IF($A19&lt;$B$5+$B$4,-(LOOKUP($A19,Cot_droits!$A$17:$A$68,Cot_droits!$I$17:$I$68)+LOOKUP($A19,Cot_droits!$A$17:$A$68,Cot_droits!$J$17:$J$68)+LOOKUP($A19,Cot_droits!$A$17:$A$68,Cot_droits!$N$17:$N$68))/LOOKUP($A19,Barèmes!$A$65:$A$148,Barèmes!$C$65:$C$148),IF(AND($A19&gt;=$B$5+$B$4,$A19&lt;=INT($B$8)-1+$B$4),LOOKUP($A19,Retraite!$A$7:$A$47,Retraite!$Q$7:Q$47)/LOOKUP($A19,Barèmes!$A$65:$A$148,Barèmes!$C$65:$C$148),IF($A19=INT($B$8+$B$4),(LOOKUP($A19,Retraite!$A$7:$A$47,Retraite!$Q$7:$Q$47)/LOOKUP($A19,Barèmes!$A$65:$A$148,Barèmes!$C$65:$C$148))*(1-(INT($B$8)+1-$B$8)),0)))</f>
        <v>-1714.9872995129826</v>
      </c>
      <c r="J19" s="115"/>
      <c r="K19" s="115"/>
      <c r="L19" s="115"/>
    </row>
    <row r="20" spans="1:12" s="43" customFormat="1" ht="15.75" customHeight="1" x14ac:dyDescent="0.25">
      <c r="A20" s="125">
        <f t="shared" si="0"/>
        <v>2025</v>
      </c>
      <c r="B20" s="131">
        <f>IF($A20&lt;$B$5+$B$4,-LOOKUP($A20,Cot_droits!$A$17:$A$68,Cot_droits!$Q$17:$Q$68)/LOOKUP($A20,Barèmes!$A$65:$A$148,Barèmes!$C$65:$C$148),IF(AND($A20&gt;=$B$5+$B$4,$A20&lt;=INT($B$8)+$B$4-1),LOOKUP($A20,Retraite!$A$7:$A$47,Retraite!$K$7:$K$47)/LOOKUP($A20,Barèmes!$A$65:$A$148,Barèmes!$C$65:$C$148),IF($A20=INT($B$8+$B$4),(LOOKUP($A20,Retraite!$A$7:$A$47,Retraite!$K$7:$K$47)/LOOKUP($A20,Barèmes!$A$65:$A$148,Barèmes!$C$65:$C$148))*(1-(INT($B$8+1)-$B$8)),0)))</f>
        <v>-5537.0409954660327</v>
      </c>
      <c r="C20" s="121">
        <f>IF($A20&lt;$B$5+$B$4,-LOOKUP($A20,Cot_droits!$A$17:$A$68,Cot_droits!$Q$17:$Q$68)/LOOKUP($A20,Barèmes!$A$65:$A$148,Barèmes!$C$65:$C$148),IF(AND($A20&gt;=$B$5+$B$4,$A20&lt;=INT($B$8)-1+$B$4),LOOKUP($A20,Retraite!$A$7:$A$47,Retraite!N$7:$N$47)/LOOKUP($A20,Barèmes!$A$65:$A$148,Barèmes!$C$65:$C$148),IF($A20=INT($B$8+$B$4),(LOOKUP($A20,Retraite!$A$7:$A$47,Retraite!$N$7:$N$47)/LOOKUP($A20,Barèmes!$A$65:$A$148,Barèmes!$C$65:$C$148))*(1-(INT($B$8)+1-$B$8)),0)))</f>
        <v>-5537.0409954660327</v>
      </c>
      <c r="D20" s="115"/>
      <c r="E20" s="131">
        <f>IF($A20&lt;$B$5+$B$4,-(LOOKUP($A20,Cot_droits!$A$17:$A$68,Cot_droits!$H$17:$H$68)+LOOKUP($A20,Cot_droits!$A$17:$A$68,Cot_droits!$L$17:$L$68))/LOOKUP($A20,Barèmes!$A$65:$A$148,Barèmes!$C$65:$C$148),IF(AND($A20&gt;=$B$5+$B$4,$A20&lt;=INT($B$8)-1+$B$4),LOOKUP($A20,Retraite!$A$7:$A$47,Retraite!$L$7:$L$47)/LOOKUP($A20,Barèmes!$A$65:$A$148,Barèmes!$C$65:$C$148),IF($A20=INT($B$8+$B$4),(LOOKUP($A20,Retraite!$A$7:$A$47,Retraite!$L$7:$L$47)/LOOKUP($A20,Barèmes!$A$65:$A$148,Barèmes!$C$65:$C$148))*(1-(INT($B$8)+1-$B$8)),0)))</f>
        <v>-3544.7863238343039</v>
      </c>
      <c r="F20" s="121">
        <f>IF($A20&lt;$B$5+$B$4,-(LOOKUP($A20,Cot_droits!$A$17:$A$68,Cot_droits!$H$17:$H$68)+LOOKUP($A20,Cot_droits!$A$17:$A$68,Cot_droits!$L$17:$L$68))/LOOKUP($A20,Barèmes!$A$65:$A$148,Barèmes!$C$65:$C$148),IF(AND($A20&gt;=$B$5+$B$4,$A20&lt;=INT($B$8)-1+$B$4),LOOKUP($A20,Retraite!$A$7:$A$47,Retraite!$P$7:P$47)/LOOKUP($A20,Barèmes!$A$65:$A$148,Barèmes!$C$65:$C$148),IF($A20=INT($B$8+$B$4),(LOOKUP($A20,Retraite!$A$7:$A$47,Retraite!$P$7:$P$47)/LOOKUP($A20,Barèmes!$A$65:$A$148,Barèmes!$C$65:$C$148))*(1-(INT($B$8)+1-$B$8)),0)))</f>
        <v>-3544.7863238343039</v>
      </c>
      <c r="H20" s="131">
        <f>IF($A20&lt;$B$5+$B$4,-(LOOKUP($A20,Cot_droits!$A$17:$A$68,Cot_droits!$I$17:$I$68)+LOOKUP($A20,Cot_droits!$A$17:$A$68,Cot_droits!$J$17:$J$68)+LOOKUP($A20,Cot_droits!$A$17:$A$68,Cot_droits!$N$17:$N$68))/LOOKUP($A20,Barèmes!$A$65:$A$148,Barèmes!$C$65:$C$148),IF(AND($A20&gt;=$B$5+$B$4,$A20&lt;=INT($B$8)-1+$B$4),LOOKUP($A20,Retraite!$A$7:$A$47,Retraite!$M$7:$M$47)/LOOKUP($A20,Barèmes!$A$65:$A$148,Barèmes!$C$65:$C$148),IF($A20=INT($B$8+$B$4),(LOOKUP($A20,Retraite!$A$7:$A$47,Retraite!$M$7:$M$47)/LOOKUP($A20,Barèmes!$A$65:$A$148,Barèmes!$C$65:$C$148))*(1-(INT($B$8)+1-$B$8)),0)))</f>
        <v>-1992.2546716317279</v>
      </c>
      <c r="I20" s="121">
        <f>IF($A20&lt;$B$5+$B$4,-(LOOKUP($A20,Cot_droits!$A$17:$A$68,Cot_droits!$I$17:$I$68)+LOOKUP($A20,Cot_droits!$A$17:$A$68,Cot_droits!$J$17:$J$68)+LOOKUP($A20,Cot_droits!$A$17:$A$68,Cot_droits!$N$17:$N$68))/LOOKUP($A20,Barèmes!$A$65:$A$148,Barèmes!$C$65:$C$148),IF(AND($A20&gt;=$B$5+$B$4,$A20&lt;=INT($B$8)-1+$B$4),LOOKUP($A20,Retraite!$A$7:$A$47,Retraite!$Q$7:Q$47)/LOOKUP($A20,Barèmes!$A$65:$A$148,Barèmes!$C$65:$C$148),IF($A20=INT($B$8+$B$4),(LOOKUP($A20,Retraite!$A$7:$A$47,Retraite!$Q$7:$Q$47)/LOOKUP($A20,Barèmes!$A$65:$A$148,Barèmes!$C$65:$C$148))*(1-(INT($B$8)+1-$B$8)),0)))</f>
        <v>-1992.2546716317279</v>
      </c>
      <c r="J20" s="115"/>
      <c r="K20" s="115"/>
      <c r="L20" s="115"/>
    </row>
    <row r="21" spans="1:12" s="43" customFormat="1" ht="15.75" customHeight="1" x14ac:dyDescent="0.25">
      <c r="A21" s="125">
        <f t="shared" si="0"/>
        <v>2026</v>
      </c>
      <c r="B21" s="131">
        <f>IF($A21&lt;$B$5+$B$4,-LOOKUP($A21,Cot_droits!$A$17:$A$68,Cot_droits!$Q$17:$Q$68)/LOOKUP($A21,Barèmes!$A$65:$A$148,Barèmes!$C$65:$C$148),IF(AND($A21&gt;=$B$5+$B$4,$A21&lt;=INT($B$8)+$B$4-1),LOOKUP($A21,Retraite!$A$7:$A$47,Retraite!$K$7:$K$47)/LOOKUP($A21,Barèmes!$A$65:$A$148,Barèmes!$C$65:$C$148),IF($A21=INT($B$8+$B$4),(LOOKUP($A21,Retraite!$A$7:$A$47,Retraite!$K$7:$K$47)/LOOKUP($A21,Barèmes!$A$65:$A$148,Barèmes!$C$65:$C$148))*(1-(INT($B$8+1)-$B$8)),0)))</f>
        <v>-6556.7848772418274</v>
      </c>
      <c r="C21" s="121">
        <f>IF($A21&lt;$B$5+$B$4,-LOOKUP($A21,Cot_droits!$A$17:$A$68,Cot_droits!$Q$17:$Q$68)/LOOKUP($A21,Barèmes!$A$65:$A$148,Barèmes!$C$65:$C$148),IF(AND($A21&gt;=$B$5+$B$4,$A21&lt;=INT($B$8)-1+$B$4),LOOKUP($A21,Retraite!$A$7:$A$47,Retraite!N$7:$N$47)/LOOKUP($A21,Barèmes!$A$65:$A$148,Barèmes!$C$65:$C$148),IF($A21=INT($B$8+$B$4),(LOOKUP($A21,Retraite!$A$7:$A$47,Retraite!$N$7:$N$47)/LOOKUP($A21,Barèmes!$A$65:$A$148,Barèmes!$C$65:$C$148))*(1-(INT($B$8)+1-$B$8)),0)))</f>
        <v>-6556.7848772418274</v>
      </c>
      <c r="D21" s="115"/>
      <c r="E21" s="131">
        <f>IF($A21&lt;$B$5+$B$4,-(LOOKUP($A21,Cot_droits!$A$17:$A$68,Cot_droits!$H$17:$H$68)+LOOKUP($A21,Cot_droits!$A$17:$A$68,Cot_droits!$L$17:$L$68))/LOOKUP($A21,Barèmes!$A$65:$A$148,Barèmes!$C$65:$C$148),IF(AND($A21&gt;=$B$5+$B$4,$A21&lt;=INT($B$8)-1+$B$4),LOOKUP($A21,Retraite!$A$7:$A$47,Retraite!$L$7:$L$47)/LOOKUP($A21,Barèmes!$A$65:$A$148,Barèmes!$C$65:$C$148),IF($A21=INT($B$8+$B$4),(LOOKUP($A21,Retraite!$A$7:$A$47,Retraite!$L$7:$L$47)/LOOKUP($A21,Barèmes!$A$65:$A$148,Barèmes!$C$65:$C$148))*(1-(INT($B$8)+1-$B$8)),0)))</f>
        <v>-4194.3172373882508</v>
      </c>
      <c r="F21" s="121">
        <f>IF($A21&lt;$B$5+$B$4,-(LOOKUP($A21,Cot_droits!$A$17:$A$68,Cot_droits!$H$17:$H$68)+LOOKUP($A21,Cot_droits!$A$17:$A$68,Cot_droits!$L$17:$L$68))/LOOKUP($A21,Barèmes!$A$65:$A$148,Barèmes!$C$65:$C$148),IF(AND($A21&gt;=$B$5+$B$4,$A21&lt;=INT($B$8)-1+$B$4),LOOKUP($A21,Retraite!$A$7:$A$47,Retraite!$P$7:P$47)/LOOKUP($A21,Barèmes!$A$65:$A$148,Barèmes!$C$65:$C$148),IF($A21=INT($B$8+$B$4),(LOOKUP($A21,Retraite!$A$7:$A$47,Retraite!$P$7:$P$47)/LOOKUP($A21,Barèmes!$A$65:$A$148,Barèmes!$C$65:$C$148))*(1-(INT($B$8)+1-$B$8)),0)))</f>
        <v>-4194.3172373882508</v>
      </c>
      <c r="H21" s="131">
        <f>IF($A21&lt;$B$5+$B$4,-(LOOKUP($A21,Cot_droits!$A$17:$A$68,Cot_droits!$I$17:$I$68)+LOOKUP($A21,Cot_droits!$A$17:$A$68,Cot_droits!$J$17:$J$68)+LOOKUP($A21,Cot_droits!$A$17:$A$68,Cot_droits!$N$17:$N$68))/LOOKUP($A21,Barèmes!$A$65:$A$148,Barèmes!$C$65:$C$148),IF(AND($A21&gt;=$B$5+$B$4,$A21&lt;=INT($B$8)-1+$B$4),LOOKUP($A21,Retraite!$A$7:$A$47,Retraite!$M$7:$M$47)/LOOKUP($A21,Barèmes!$A$65:$A$148,Barèmes!$C$65:$C$148),IF($A21=INT($B$8+$B$4),(LOOKUP($A21,Retraite!$A$7:$A$47,Retraite!$M$7:$M$47)/LOOKUP($A21,Barèmes!$A$65:$A$148,Barèmes!$C$65:$C$148))*(1-(INT($B$8)+1-$B$8)),0)))</f>
        <v>-2362.4676398535767</v>
      </c>
      <c r="I21" s="121">
        <f>IF($A21&lt;$B$5+$B$4,-(LOOKUP($A21,Cot_droits!$A$17:$A$68,Cot_droits!$I$17:$I$68)+LOOKUP($A21,Cot_droits!$A$17:$A$68,Cot_droits!$J$17:$J$68)+LOOKUP($A21,Cot_droits!$A$17:$A$68,Cot_droits!$N$17:$N$68))/LOOKUP($A21,Barèmes!$A$65:$A$148,Barèmes!$C$65:$C$148),IF(AND($A21&gt;=$B$5+$B$4,$A21&lt;=INT($B$8)-1+$B$4),LOOKUP($A21,Retraite!$A$7:$A$47,Retraite!$Q$7:Q$47)/LOOKUP($A21,Barèmes!$A$65:$A$148,Barèmes!$C$65:$C$148),IF($A21=INT($B$8+$B$4),(LOOKUP($A21,Retraite!$A$7:$A$47,Retraite!$Q$7:$Q$47)/LOOKUP($A21,Barèmes!$A$65:$A$148,Barèmes!$C$65:$C$148))*(1-(INT($B$8)+1-$B$8)),0)))</f>
        <v>-2362.4676398535767</v>
      </c>
      <c r="J21" s="115"/>
      <c r="K21" s="115"/>
      <c r="L21" s="115"/>
    </row>
    <row r="22" spans="1:12" s="43" customFormat="1" ht="15.75" customHeight="1" x14ac:dyDescent="0.25">
      <c r="A22" s="125">
        <f t="shared" si="0"/>
        <v>2027</v>
      </c>
      <c r="B22" s="131">
        <f>IF($A22&lt;$B$5+$B$4,-LOOKUP($A22,Cot_droits!$A$17:$A$68,Cot_droits!$Q$17:$Q$68)/LOOKUP($A22,Barèmes!$A$65:$A$148,Barèmes!$C$65:$C$148),IF(AND($A22&gt;=$B$5+$B$4,$A22&lt;=INT($B$8)+$B$4-1),LOOKUP($A22,Retraite!$A$7:$A$47,Retraite!$K$7:$K$47)/LOOKUP($A22,Barèmes!$A$65:$A$148,Barèmes!$C$65:$C$148),IF($A22=INT($B$8+$B$4),(LOOKUP($A22,Retraite!$A$7:$A$47,Retraite!$K$7:$K$47)/LOOKUP($A22,Barèmes!$A$65:$A$148,Barèmes!$C$65:$C$148))*(1-(INT($B$8+1)-$B$8)),0)))</f>
        <v>-7301.8763420793439</v>
      </c>
      <c r="C22" s="121">
        <f>IF($A22&lt;$B$5+$B$4,-LOOKUP($A22,Cot_droits!$A$17:$A$68,Cot_droits!$Q$17:$Q$68)/LOOKUP($A22,Barèmes!$A$65:$A$148,Barèmes!$C$65:$C$148),IF(AND($A22&gt;=$B$5+$B$4,$A22&lt;=INT($B$8)-1+$B$4),LOOKUP($A22,Retraite!$A$7:$A$47,Retraite!N$7:$N$47)/LOOKUP($A22,Barèmes!$A$65:$A$148,Barèmes!$C$65:$C$148),IF($A22=INT($B$8+$B$4),(LOOKUP($A22,Retraite!$A$7:$A$47,Retraite!$N$7:$N$47)/LOOKUP($A22,Barèmes!$A$65:$A$148,Barèmes!$C$65:$C$148))*(1-(INT($B$8)+1-$B$8)),0)))</f>
        <v>-7301.8763420793439</v>
      </c>
      <c r="D22" s="115"/>
      <c r="E22" s="131">
        <f>IF($A22&lt;$B$5+$B$4,-(LOOKUP($A22,Cot_droits!$A$17:$A$68,Cot_droits!$H$17:$H$68)+LOOKUP($A22,Cot_droits!$A$17:$A$68,Cot_droits!$L$17:$L$68))/LOOKUP($A22,Barèmes!$A$65:$A$148,Barèmes!$C$65:$C$148),IF(AND($A22&gt;=$B$5+$B$4,$A22&lt;=INT($B$8)-1+$B$4),LOOKUP($A22,Retraite!$A$7:$A$47,Retraite!$L$7:$L$47)/LOOKUP($A22,Barèmes!$A$65:$A$148,Barèmes!$C$65:$C$148),IF($A22=INT($B$8+$B$4),(LOOKUP($A22,Retraite!$A$7:$A$47,Retraite!$L$7:$L$47)/LOOKUP($A22,Barèmes!$A$65:$A$148,Barèmes!$C$65:$C$148))*(1-(INT($B$8)+1-$B$8)),0)))</f>
        <v>-4668.940968640266</v>
      </c>
      <c r="F22" s="121">
        <f>IF($A22&lt;$B$5+$B$4,-(LOOKUP($A22,Cot_droits!$A$17:$A$68,Cot_droits!$H$17:$H$68)+LOOKUP($A22,Cot_droits!$A$17:$A$68,Cot_droits!$L$17:$L$68))/LOOKUP($A22,Barèmes!$A$65:$A$148,Barèmes!$C$65:$C$148),IF(AND($A22&gt;=$B$5+$B$4,$A22&lt;=INT($B$8)-1+$B$4),LOOKUP($A22,Retraite!$A$7:$A$47,Retraite!$P$7:P$47)/LOOKUP($A22,Barèmes!$A$65:$A$148,Barèmes!$C$65:$C$148),IF($A22=INT($B$8+$B$4),(LOOKUP($A22,Retraite!$A$7:$A$47,Retraite!$P$7:$P$47)/LOOKUP($A22,Barèmes!$A$65:$A$148,Barèmes!$C$65:$C$148))*(1-(INT($B$8)+1-$B$8)),0)))</f>
        <v>-4668.940968640266</v>
      </c>
      <c r="H22" s="131">
        <f>IF($A22&lt;$B$5+$B$4,-(LOOKUP($A22,Cot_droits!$A$17:$A$68,Cot_droits!$I$17:$I$68)+LOOKUP($A22,Cot_droits!$A$17:$A$68,Cot_droits!$J$17:$J$68)+LOOKUP($A22,Cot_droits!$A$17:$A$68,Cot_droits!$N$17:$N$68))/LOOKUP($A22,Barèmes!$A$65:$A$148,Barèmes!$C$65:$C$148),IF(AND($A22&gt;=$B$5+$B$4,$A22&lt;=INT($B$8)-1+$B$4),LOOKUP($A22,Retraite!$A$7:$A$47,Retraite!$M$7:$M$47)/LOOKUP($A22,Barèmes!$A$65:$A$148,Barèmes!$C$65:$C$148),IF($A22=INT($B$8+$B$4),(LOOKUP($A22,Retraite!$A$7:$A$47,Retraite!$M$7:$M$47)/LOOKUP($A22,Barèmes!$A$65:$A$148,Barèmes!$C$65:$C$148))*(1-(INT($B$8)+1-$B$8)),0)))</f>
        <v>-2632.9353734390788</v>
      </c>
      <c r="I22" s="121">
        <f>IF($A22&lt;$B$5+$B$4,-(LOOKUP($A22,Cot_droits!$A$17:$A$68,Cot_droits!$I$17:$I$68)+LOOKUP($A22,Cot_droits!$A$17:$A$68,Cot_droits!$J$17:$J$68)+LOOKUP($A22,Cot_droits!$A$17:$A$68,Cot_droits!$N$17:$N$68))/LOOKUP($A22,Barèmes!$A$65:$A$148,Barèmes!$C$65:$C$148),IF(AND($A22&gt;=$B$5+$B$4,$A22&lt;=INT($B$8)-1+$B$4),LOOKUP($A22,Retraite!$A$7:$A$47,Retraite!$Q$7:Q$47)/LOOKUP($A22,Barèmes!$A$65:$A$148,Barèmes!$C$65:$C$148),IF($A22=INT($B$8+$B$4),(LOOKUP($A22,Retraite!$A$7:$A$47,Retraite!$Q$7:$Q$47)/LOOKUP($A22,Barèmes!$A$65:$A$148,Barèmes!$C$65:$C$148))*(1-(INT($B$8)+1-$B$8)),0)))</f>
        <v>-2632.9353734390788</v>
      </c>
      <c r="J22" s="115"/>
      <c r="K22" s="115"/>
      <c r="L22" s="115"/>
    </row>
    <row r="23" spans="1:12" s="43" customFormat="1" ht="15.75" customHeight="1" x14ac:dyDescent="0.25">
      <c r="A23" s="125">
        <f t="shared" si="0"/>
        <v>2028</v>
      </c>
      <c r="B23" s="131">
        <f>IF($A23&lt;$B$5+$B$4,-LOOKUP($A23,Cot_droits!$A$17:$A$68,Cot_droits!$Q$17:$Q$68)/LOOKUP($A23,Barèmes!$A$65:$A$148,Barèmes!$C$65:$C$148),IF(AND($A23&gt;=$B$5+$B$4,$A23&lt;=INT($B$8)+$B$4-1),LOOKUP($A23,Retraite!$A$7:$A$47,Retraite!$K$7:$K$47)/LOOKUP($A23,Barèmes!$A$65:$A$148,Barèmes!$C$65:$C$148),IF($A23=INT($B$8+$B$4),(LOOKUP($A23,Retraite!$A$7:$A$47,Retraite!$K$7:$K$47)/LOOKUP($A23,Barèmes!$A$65:$A$148,Barèmes!$C$65:$C$148))*(1-(INT($B$8+1)-$B$8)),0)))</f>
        <v>-7921.5066411790776</v>
      </c>
      <c r="C23" s="121">
        <f>IF($A23&lt;$B$5+$B$4,-LOOKUP($A23,Cot_droits!$A$17:$A$68,Cot_droits!$Q$17:$Q$68)/LOOKUP($A23,Barèmes!$A$65:$A$148,Barèmes!$C$65:$C$148),IF(AND($A23&gt;=$B$5+$B$4,$A23&lt;=INT($B$8)-1+$B$4),LOOKUP($A23,Retraite!$A$7:$A$47,Retraite!N$7:$N$47)/LOOKUP($A23,Barèmes!$A$65:$A$148,Barèmes!$C$65:$C$148),IF($A23=INT($B$8+$B$4),(LOOKUP($A23,Retraite!$A$7:$A$47,Retraite!$N$7:$N$47)/LOOKUP($A23,Barèmes!$A$65:$A$148,Barèmes!$C$65:$C$148))*(1-(INT($B$8)+1-$B$8)),0)))</f>
        <v>-7921.5066411790776</v>
      </c>
      <c r="D23" s="115"/>
      <c r="E23" s="131">
        <f>IF($A23&lt;$B$5+$B$4,-(LOOKUP($A23,Cot_droits!$A$17:$A$68,Cot_droits!$H$17:$H$68)+LOOKUP($A23,Cot_droits!$A$17:$A$68,Cot_droits!$L$17:$L$68))/LOOKUP($A23,Barèmes!$A$65:$A$148,Barèmes!$C$65:$C$148),IF(AND($A23&gt;=$B$5+$B$4,$A23&lt;=INT($B$8)-1+$B$4),LOOKUP($A23,Retraite!$A$7:$A$47,Retraite!$L$7:$L$47)/LOOKUP($A23,Barèmes!$A$65:$A$148,Barèmes!$C$65:$C$148),IF($A23=INT($B$8+$B$4),(LOOKUP($A23,Retraite!$A$7:$A$47,Retraite!$L$7:$L$47)/LOOKUP($A23,Barèmes!$A$65:$A$148,Barèmes!$C$65:$C$148))*(1-(INT($B$8)+1-$B$8)),0)))</f>
        <v>-5063.6788436955285</v>
      </c>
      <c r="F23" s="121">
        <f>IF($A23&lt;$B$5+$B$4,-(LOOKUP($A23,Cot_droits!$A$17:$A$68,Cot_droits!$H$17:$H$68)+LOOKUP($A23,Cot_droits!$A$17:$A$68,Cot_droits!$L$17:$L$68))/LOOKUP($A23,Barèmes!$A$65:$A$148,Barèmes!$C$65:$C$148),IF(AND($A23&gt;=$B$5+$B$4,$A23&lt;=INT($B$8)-1+$B$4),LOOKUP($A23,Retraite!$A$7:$A$47,Retraite!$P$7:P$47)/LOOKUP($A23,Barèmes!$A$65:$A$148,Barèmes!$C$65:$C$148),IF($A23=INT($B$8+$B$4),(LOOKUP($A23,Retraite!$A$7:$A$47,Retraite!$P$7:$P$47)/LOOKUP($A23,Barèmes!$A$65:$A$148,Barèmes!$C$65:$C$148))*(1-(INT($B$8)+1-$B$8)),0)))</f>
        <v>-5063.6788436955285</v>
      </c>
      <c r="H23" s="131">
        <f>IF($A23&lt;$B$5+$B$4,-(LOOKUP($A23,Cot_droits!$A$17:$A$68,Cot_droits!$I$17:$I$68)+LOOKUP($A23,Cot_droits!$A$17:$A$68,Cot_droits!$J$17:$J$68)+LOOKUP($A23,Cot_droits!$A$17:$A$68,Cot_droits!$N$17:$N$68))/LOOKUP($A23,Barèmes!$A$65:$A$148,Barèmes!$C$65:$C$148),IF(AND($A23&gt;=$B$5+$B$4,$A23&lt;=INT($B$8)-1+$B$4),LOOKUP($A23,Retraite!$A$7:$A$47,Retraite!$M$7:$M$47)/LOOKUP($A23,Barèmes!$A$65:$A$148,Barèmes!$C$65:$C$148),IF($A23=INT($B$8+$B$4),(LOOKUP($A23,Retraite!$A$7:$A$47,Retraite!$M$7:$M$47)/LOOKUP($A23,Barèmes!$A$65:$A$148,Barèmes!$C$65:$C$148))*(1-(INT($B$8)+1-$B$8)),0)))</f>
        <v>-2857.8277974835478</v>
      </c>
      <c r="I23" s="121">
        <f>IF($A23&lt;$B$5+$B$4,-(LOOKUP($A23,Cot_droits!$A$17:$A$68,Cot_droits!$I$17:$I$68)+LOOKUP($A23,Cot_droits!$A$17:$A$68,Cot_droits!$J$17:$J$68)+LOOKUP($A23,Cot_droits!$A$17:$A$68,Cot_droits!$N$17:$N$68))/LOOKUP($A23,Barèmes!$A$65:$A$148,Barèmes!$C$65:$C$148),IF(AND($A23&gt;=$B$5+$B$4,$A23&lt;=INT($B$8)-1+$B$4),LOOKUP($A23,Retraite!$A$7:$A$47,Retraite!$Q$7:Q$47)/LOOKUP($A23,Barèmes!$A$65:$A$148,Barèmes!$C$65:$C$148),IF($A23=INT($B$8+$B$4),(LOOKUP($A23,Retraite!$A$7:$A$47,Retraite!$Q$7:$Q$47)/LOOKUP($A23,Barèmes!$A$65:$A$148,Barèmes!$C$65:$C$148))*(1-(INT($B$8)+1-$B$8)),0)))</f>
        <v>-2857.8277974835478</v>
      </c>
      <c r="J23" s="115"/>
      <c r="K23" s="115"/>
      <c r="L23" s="115"/>
    </row>
    <row r="24" spans="1:12" s="43" customFormat="1" ht="15.75" customHeight="1" x14ac:dyDescent="0.25">
      <c r="A24" s="125">
        <f t="shared" si="0"/>
        <v>2029</v>
      </c>
      <c r="B24" s="131">
        <f>IF($A24&lt;$B$5+$B$4,-LOOKUP($A24,Cot_droits!$A$17:$A$68,Cot_droits!$Q$17:$Q$68)/LOOKUP($A24,Barèmes!$A$65:$A$148,Barèmes!$C$65:$C$148),IF(AND($A24&gt;=$B$5+$B$4,$A24&lt;=INT($B$8)+$B$4-1),LOOKUP($A24,Retraite!$A$7:$A$47,Retraite!$K$7:$K$47)/LOOKUP($A24,Barèmes!$A$65:$A$148,Barèmes!$C$65:$C$148),IF($A24=INT($B$8+$B$4),(LOOKUP($A24,Retraite!$A$7:$A$47,Retraite!$K$7:$K$47)/LOOKUP($A24,Barèmes!$A$65:$A$148,Barèmes!$C$65:$C$148))*(1-(INT($B$8+1)-$B$8)),0)))</f>
        <v>-8590.9410614260651</v>
      </c>
      <c r="C24" s="121">
        <f>IF($A24&lt;$B$5+$B$4,-LOOKUP($A24,Cot_droits!$A$17:$A$68,Cot_droits!$Q$17:$Q$68)/LOOKUP($A24,Barèmes!$A$65:$A$148,Barèmes!$C$65:$C$148),IF(AND($A24&gt;=$B$5+$B$4,$A24&lt;=INT($B$8)-1+$B$4),LOOKUP($A24,Retraite!$A$7:$A$47,Retraite!N$7:$N$47)/LOOKUP($A24,Barèmes!$A$65:$A$148,Barèmes!$C$65:$C$148),IF($A24=INT($B$8+$B$4),(LOOKUP($A24,Retraite!$A$7:$A$47,Retraite!$N$7:$N$47)/LOOKUP($A24,Barèmes!$A$65:$A$148,Barèmes!$C$65:$C$148))*(1-(INT($B$8)+1-$B$8)),0)))</f>
        <v>-8590.9410614260651</v>
      </c>
      <c r="D24" s="115"/>
      <c r="E24" s="131">
        <f>IF($A24&lt;$B$5+$B$4,-(LOOKUP($A24,Cot_droits!$A$17:$A$68,Cot_droits!$H$17:$H$68)+LOOKUP($A24,Cot_droits!$A$17:$A$68,Cot_droits!$L$17:$L$68))/LOOKUP($A24,Barèmes!$A$65:$A$148,Barèmes!$C$65:$C$148),IF(AND($A24&gt;=$B$5+$B$4,$A24&lt;=INT($B$8)-1+$B$4),LOOKUP($A24,Retraite!$A$7:$A$47,Retraite!$L$7:$L$47)/LOOKUP($A24,Barèmes!$A$65:$A$148,Barèmes!$C$65:$C$148),IF($A24=INT($B$8+$B$4),(LOOKUP($A24,Retraite!$A$7:$A$47,Retraite!$L$7:$L$47)/LOOKUP($A24,Barèmes!$A$65:$A$148,Barèmes!$C$65:$C$148))*(1-(INT($B$8)+1-$B$8)),0)))</f>
        <v>-5490.3580269429212</v>
      </c>
      <c r="F24" s="121">
        <f>IF($A24&lt;$B$5+$B$4,-(LOOKUP($A24,Cot_droits!$A$17:$A$68,Cot_droits!$H$17:$H$68)+LOOKUP($A24,Cot_droits!$A$17:$A$68,Cot_droits!$L$17:$L$68))/LOOKUP($A24,Barèmes!$A$65:$A$148,Barèmes!$C$65:$C$148),IF(AND($A24&gt;=$B$5+$B$4,$A24&lt;=INT($B$8)-1+$B$4),LOOKUP($A24,Retraite!$A$7:$A$47,Retraite!$P$7:P$47)/LOOKUP($A24,Barèmes!$A$65:$A$148,Barèmes!$C$65:$C$148),IF($A24=INT($B$8+$B$4),(LOOKUP($A24,Retraite!$A$7:$A$47,Retraite!$P$7:$P$47)/LOOKUP($A24,Barèmes!$A$65:$A$148,Barèmes!$C$65:$C$148))*(1-(INT($B$8)+1-$B$8)),0)))</f>
        <v>-5490.3580269429212</v>
      </c>
      <c r="H24" s="131">
        <f>IF($A24&lt;$B$5+$B$4,-(LOOKUP($A24,Cot_droits!$A$17:$A$68,Cot_droits!$I$17:$I$68)+LOOKUP($A24,Cot_droits!$A$17:$A$68,Cot_droits!$J$17:$J$68)+LOOKUP($A24,Cot_droits!$A$17:$A$68,Cot_droits!$N$17:$N$68))/LOOKUP($A24,Barèmes!$A$65:$A$148,Barèmes!$C$65:$C$148),IF(AND($A24&gt;=$B$5+$B$4,$A24&lt;=INT($B$8)-1+$B$4),LOOKUP($A24,Retraite!$A$7:$A$47,Retraite!$M$7:$M$47)/LOOKUP($A24,Barèmes!$A$65:$A$148,Barèmes!$C$65:$C$148),IF($A24=INT($B$8+$B$4),(LOOKUP($A24,Retraite!$A$7:$A$47,Retraite!$M$7:$M$47)/LOOKUP($A24,Barèmes!$A$65:$A$148,Barèmes!$C$65:$C$148))*(1-(INT($B$8)+1-$B$8)),0)))</f>
        <v>-3100.5830344831456</v>
      </c>
      <c r="I24" s="121">
        <f>IF($A24&lt;$B$5+$B$4,-(LOOKUP($A24,Cot_droits!$A$17:$A$68,Cot_droits!$I$17:$I$68)+LOOKUP($A24,Cot_droits!$A$17:$A$68,Cot_droits!$J$17:$J$68)+LOOKUP($A24,Cot_droits!$A$17:$A$68,Cot_droits!$N$17:$N$68))/LOOKUP($A24,Barèmes!$A$65:$A$148,Barèmes!$C$65:$C$148),IF(AND($A24&gt;=$B$5+$B$4,$A24&lt;=INT($B$8)-1+$B$4),LOOKUP($A24,Retraite!$A$7:$A$47,Retraite!$Q$7:Q$47)/LOOKUP($A24,Barèmes!$A$65:$A$148,Barèmes!$C$65:$C$148),IF($A24=INT($B$8+$B$4),(LOOKUP($A24,Retraite!$A$7:$A$47,Retraite!$Q$7:$Q$47)/LOOKUP($A24,Barèmes!$A$65:$A$148,Barèmes!$C$65:$C$148))*(1-(INT($B$8)+1-$B$8)),0)))</f>
        <v>-3100.5830344831456</v>
      </c>
      <c r="J24" s="115"/>
    </row>
    <row r="25" spans="1:12" s="43" customFormat="1" ht="15.75" customHeight="1" x14ac:dyDescent="0.25">
      <c r="A25" s="125">
        <f t="shared" si="0"/>
        <v>2030</v>
      </c>
      <c r="B25" s="131">
        <f>IF($A25&lt;$B$5+$B$4,-LOOKUP($A25,Cot_droits!$A$17:$A$68,Cot_droits!$Q$17:$Q$68)/LOOKUP($A25,Barèmes!$A$65:$A$148,Barèmes!$C$65:$C$148),IF(AND($A25&gt;=$B$5+$B$4,$A25&lt;=INT($B$8)+$B$4-1),LOOKUP($A25,Retraite!$A$7:$A$47,Retraite!$K$7:$K$47)/LOOKUP($A25,Barèmes!$A$65:$A$148,Barèmes!$C$65:$C$148),IF($A25=INT($B$8+$B$4),(LOOKUP($A25,Retraite!$A$7:$A$47,Retraite!$K$7:$K$47)/LOOKUP($A25,Barèmes!$A$65:$A$148,Barèmes!$C$65:$C$148))*(1-(INT($B$8+1)-$B$8)),0)))</f>
        <v>-8937.6840929020436</v>
      </c>
      <c r="C25" s="121">
        <f>IF($A25&lt;$B$5+$B$4,-LOOKUP($A25,Cot_droits!$A$17:$A$68,Cot_droits!$Q$17:$Q$68)/LOOKUP($A25,Barèmes!$A$65:$A$148,Barèmes!$C$65:$C$148),IF(AND($A25&gt;=$B$5+$B$4,$A25&lt;=INT($B$8)-1+$B$4),LOOKUP($A25,Retraite!$A$7:$A$47,Retraite!N$7:$N$47)/LOOKUP($A25,Barèmes!$A$65:$A$148,Barèmes!$C$65:$C$148),IF($A25=INT($B$8+$B$4),(LOOKUP($A25,Retraite!$A$7:$A$47,Retraite!$N$7:$N$47)/LOOKUP($A25,Barèmes!$A$65:$A$148,Barèmes!$C$65:$C$148))*(1-(INT($B$8)+1-$B$8)),0)))</f>
        <v>-8937.6840929020436</v>
      </c>
      <c r="D25" s="115"/>
      <c r="E25" s="131">
        <f>IF($A25&lt;$B$5+$B$4,-(LOOKUP($A25,Cot_droits!$A$17:$A$68,Cot_droits!$H$17:$H$68)+LOOKUP($A25,Cot_droits!$A$17:$A$68,Cot_droits!$L$17:$L$68))/LOOKUP($A25,Barèmes!$A$65:$A$148,Barèmes!$C$65:$C$148),IF(AND($A25&gt;=$B$5+$B$4,$A25&lt;=INT($B$8)-1+$B$4),LOOKUP($A25,Retraite!$A$7:$A$47,Retraite!$L$7:$L$47)/LOOKUP($A25,Barèmes!$A$65:$A$148,Barèmes!$C$65:$C$148),IF($A25=INT($B$8+$B$4),(LOOKUP($A25,Retraite!$A$7:$A$47,Retraite!$L$7:$L$47)/LOOKUP($A25,Barèmes!$A$65:$A$148,Barèmes!$C$65:$C$148))*(1-(INT($B$8)+1-$B$8)),0)))</f>
        <v>-5711.9569615111704</v>
      </c>
      <c r="F25" s="121">
        <f>IF($A25&lt;$B$5+$B$4,-(LOOKUP($A25,Cot_droits!$A$17:$A$68,Cot_droits!$H$17:$H$68)+LOOKUP($A25,Cot_droits!$A$17:$A$68,Cot_droits!$L$17:$L$68))/LOOKUP($A25,Barèmes!$A$65:$A$148,Barèmes!$C$65:$C$148),IF(AND($A25&gt;=$B$5+$B$4,$A25&lt;=INT($B$8)-1+$B$4),LOOKUP($A25,Retraite!$A$7:$A$47,Retraite!$P$7:P$47)/LOOKUP($A25,Barèmes!$A$65:$A$148,Barèmes!$C$65:$C$148),IF($A25=INT($B$8+$B$4),(LOOKUP($A25,Retraite!$A$7:$A$47,Retraite!$P$7:$P$47)/LOOKUP($A25,Barèmes!$A$65:$A$148,Barèmes!$C$65:$C$148))*(1-(INT($B$8)+1-$B$8)),0)))</f>
        <v>-5711.9569615111704</v>
      </c>
      <c r="H25" s="131">
        <f>IF($A25&lt;$B$5+$B$4,-(LOOKUP($A25,Cot_droits!$A$17:$A$68,Cot_droits!$I$17:$I$68)+LOOKUP($A25,Cot_droits!$A$17:$A$68,Cot_droits!$J$17:$J$68)+LOOKUP($A25,Cot_droits!$A$17:$A$68,Cot_droits!$N$17:$N$68))/LOOKUP($A25,Barèmes!$A$65:$A$148,Barèmes!$C$65:$C$148),IF(AND($A25&gt;=$B$5+$B$4,$A25&lt;=INT($B$8)-1+$B$4),LOOKUP($A25,Retraite!$A$7:$A$47,Retraite!$M$7:$M$47)/LOOKUP($A25,Barèmes!$A$65:$A$148,Barèmes!$C$65:$C$148),IF($A25=INT($B$8+$B$4),(LOOKUP($A25,Retraite!$A$7:$A$47,Retraite!$M$7:$M$47)/LOOKUP($A25,Barèmes!$A$65:$A$148,Barèmes!$C$65:$C$148))*(1-(INT($B$8)+1-$B$8)),0)))</f>
        <v>-3225.7271313908723</v>
      </c>
      <c r="I25" s="121">
        <f>IF($A25&lt;$B$5+$B$4,-(LOOKUP($A25,Cot_droits!$A$17:$A$68,Cot_droits!$I$17:$I$68)+LOOKUP($A25,Cot_droits!$A$17:$A$68,Cot_droits!$J$17:$J$68)+LOOKUP($A25,Cot_droits!$A$17:$A$68,Cot_droits!$N$17:$N$68))/LOOKUP($A25,Barèmes!$A$65:$A$148,Barèmes!$C$65:$C$148),IF(AND($A25&gt;=$B$5+$B$4,$A25&lt;=INT($B$8)-1+$B$4),LOOKUP($A25,Retraite!$A$7:$A$47,Retraite!$Q$7:Q$47)/LOOKUP($A25,Barèmes!$A$65:$A$148,Barèmes!$C$65:$C$148),IF($A25=INT($B$8+$B$4),(LOOKUP($A25,Retraite!$A$7:$A$47,Retraite!$Q$7:$Q$47)/LOOKUP($A25,Barèmes!$A$65:$A$148,Barèmes!$C$65:$C$148))*(1-(INT($B$8)+1-$B$8)),0)))</f>
        <v>-3225.7271313908723</v>
      </c>
      <c r="J25" s="115"/>
    </row>
    <row r="26" spans="1:12" s="43" customFormat="1" ht="15.75" customHeight="1" x14ac:dyDescent="0.25">
      <c r="A26" s="125">
        <f t="shared" si="0"/>
        <v>2031</v>
      </c>
      <c r="B26" s="131">
        <f>IF($A26&lt;$B$5+$B$4,-LOOKUP($A26,Cot_droits!$A$17:$A$68,Cot_droits!$Q$17:$Q$68)/LOOKUP($A26,Barèmes!$A$65:$A$148,Barèmes!$C$65:$C$148),IF(AND($A26&gt;=$B$5+$B$4,$A26&lt;=INT($B$8)+$B$4-1),LOOKUP($A26,Retraite!$A$7:$A$47,Retraite!$K$7:$K$47)/LOOKUP($A26,Barèmes!$A$65:$A$148,Barèmes!$C$65:$C$148),IF($A26=INT($B$8+$B$4),(LOOKUP($A26,Retraite!$A$7:$A$47,Retraite!$K$7:$K$47)/LOOKUP($A26,Barèmes!$A$65:$A$148,Barèmes!$C$65:$C$148))*(1-(INT($B$8+1)-$B$8)),0)))</f>
        <v>-9188.3795084425255</v>
      </c>
      <c r="C26" s="121">
        <f>IF($A26&lt;$B$5+$B$4,-LOOKUP($A26,Cot_droits!$A$17:$A$68,Cot_droits!$Q$17:$Q$68)/LOOKUP($A26,Barèmes!$A$65:$A$148,Barèmes!$C$65:$C$148),IF(AND($A26&gt;=$B$5+$B$4,$A26&lt;=INT($B$8)-1+$B$4),LOOKUP($A26,Retraite!$A$7:$A$47,Retraite!N$7:$N$47)/LOOKUP($A26,Barèmes!$A$65:$A$148,Barèmes!$C$65:$C$148),IF($A26=INT($B$8+$B$4),(LOOKUP($A26,Retraite!$A$7:$A$47,Retraite!$N$7:$N$47)/LOOKUP($A26,Barèmes!$A$65:$A$148,Barèmes!$C$65:$C$148))*(1-(INT($B$8)+1-$B$8)),0)))</f>
        <v>-9188.3795084425255</v>
      </c>
      <c r="D26" s="115"/>
      <c r="E26" s="131">
        <f>IF($A26&lt;$B$5+$B$4,-(LOOKUP($A26,Cot_droits!$A$17:$A$68,Cot_droits!$H$17:$H$68)+LOOKUP($A26,Cot_droits!$A$17:$A$68,Cot_droits!$L$17:$L$68))/LOOKUP($A26,Barèmes!$A$65:$A$148,Barèmes!$C$65:$C$148),IF(AND($A26&gt;=$B$5+$B$4,$A26&lt;=INT($B$8)-1+$B$4),LOOKUP($A26,Retraite!$A$7:$A$47,Retraite!$L$7:$L$47)/LOOKUP($A26,Barèmes!$A$65:$A$148,Barèmes!$C$65:$C$148),IF($A26=INT($B$8+$B$4),(LOOKUP($A26,Retraite!$A$7:$A$47,Retraite!$L$7:$L$47)/LOOKUP($A26,Barèmes!$A$65:$A$148,Barèmes!$C$65:$C$148))*(1-(INT($B$8)+1-$B$8)),0)))</f>
        <v>-5872.1731214392894</v>
      </c>
      <c r="F26" s="121">
        <f>IF($A26&lt;$B$5+$B$4,-(LOOKUP($A26,Cot_droits!$A$17:$A$68,Cot_droits!$H$17:$H$68)+LOOKUP($A26,Cot_droits!$A$17:$A$68,Cot_droits!$L$17:$L$68))/LOOKUP($A26,Barèmes!$A$65:$A$148,Barèmes!$C$65:$C$148),IF(AND($A26&gt;=$B$5+$B$4,$A26&lt;=INT($B$8)-1+$B$4),LOOKUP($A26,Retraite!$A$7:$A$47,Retraite!$P$7:P$47)/LOOKUP($A26,Barèmes!$A$65:$A$148,Barèmes!$C$65:$C$148),IF($A26=INT($B$8+$B$4),(LOOKUP($A26,Retraite!$A$7:$A$47,Retraite!$P$7:$P$47)/LOOKUP($A26,Barèmes!$A$65:$A$148,Barèmes!$C$65:$C$148))*(1-(INT($B$8)+1-$B$8)),0)))</f>
        <v>-5872.1731214392894</v>
      </c>
      <c r="H26" s="131">
        <f>IF($A26&lt;$B$5+$B$4,-(LOOKUP($A26,Cot_droits!$A$17:$A$68,Cot_droits!$I$17:$I$68)+LOOKUP($A26,Cot_droits!$A$17:$A$68,Cot_droits!$J$17:$J$68)+LOOKUP($A26,Cot_droits!$A$17:$A$68,Cot_droits!$N$17:$N$68))/LOOKUP($A26,Barèmes!$A$65:$A$148,Barèmes!$C$65:$C$148),IF(AND($A26&gt;=$B$5+$B$4,$A26&lt;=INT($B$8)-1+$B$4),LOOKUP($A26,Retraite!$A$7:$A$47,Retraite!$M$7:$M$47)/LOOKUP($A26,Barèmes!$A$65:$A$148,Barèmes!$C$65:$C$148),IF($A26=INT($B$8+$B$4),(LOOKUP($A26,Retraite!$A$7:$A$47,Retraite!$M$7:$M$47)/LOOKUP($A26,Barèmes!$A$65:$A$148,Barèmes!$C$65:$C$148))*(1-(INT($B$8)+1-$B$8)),0)))</f>
        <v>-3316.2063870032357</v>
      </c>
      <c r="I26" s="121">
        <f>IF($A26&lt;$B$5+$B$4,-(LOOKUP($A26,Cot_droits!$A$17:$A$68,Cot_droits!$I$17:$I$68)+LOOKUP($A26,Cot_droits!$A$17:$A$68,Cot_droits!$J$17:$J$68)+LOOKUP($A26,Cot_droits!$A$17:$A$68,Cot_droits!$N$17:$N$68))/LOOKUP($A26,Barèmes!$A$65:$A$148,Barèmes!$C$65:$C$148),IF(AND($A26&gt;=$B$5+$B$4,$A26&lt;=INT($B$8)-1+$B$4),LOOKUP($A26,Retraite!$A$7:$A$47,Retraite!$Q$7:Q$47)/LOOKUP($A26,Barèmes!$A$65:$A$148,Barèmes!$C$65:$C$148),IF($A26=INT($B$8+$B$4),(LOOKUP($A26,Retraite!$A$7:$A$47,Retraite!$Q$7:$Q$47)/LOOKUP($A26,Barèmes!$A$65:$A$148,Barèmes!$C$65:$C$148))*(1-(INT($B$8)+1-$B$8)),0)))</f>
        <v>-3316.2063870032357</v>
      </c>
      <c r="J26" s="115"/>
    </row>
    <row r="27" spans="1:12" s="43" customFormat="1" ht="15.75" customHeight="1" x14ac:dyDescent="0.25">
      <c r="A27" s="125">
        <f t="shared" si="0"/>
        <v>2032</v>
      </c>
      <c r="B27" s="131">
        <f>IF($A27&lt;$B$5+$B$4,-LOOKUP($A27,Cot_droits!$A$17:$A$68,Cot_droits!$Q$17:$Q$68)/LOOKUP($A27,Barèmes!$A$65:$A$148,Barèmes!$C$65:$C$148),IF(AND($A27&gt;=$B$5+$B$4,$A27&lt;=INT($B$8)+$B$4-1),LOOKUP($A27,Retraite!$A$7:$A$47,Retraite!$K$7:$K$47)/LOOKUP($A27,Barèmes!$A$65:$A$148,Barèmes!$C$65:$C$148),IF($A27=INT($B$8+$B$4),(LOOKUP($A27,Retraite!$A$7:$A$47,Retraite!$K$7:$K$47)/LOOKUP($A27,Barèmes!$A$65:$A$148,Barèmes!$C$65:$C$148))*(1-(INT($B$8+1)-$B$8)),0)))</f>
        <v>-9556.5165459620948</v>
      </c>
      <c r="C27" s="121">
        <f>IF($A27&lt;$B$5+$B$4,-LOOKUP($A27,Cot_droits!$A$17:$A$68,Cot_droits!$Q$17:$Q$68)/LOOKUP($A27,Barèmes!$A$65:$A$148,Barèmes!$C$65:$C$148),IF(AND($A27&gt;=$B$5+$B$4,$A27&lt;=INT($B$8)-1+$B$4),LOOKUP($A27,Retraite!$A$7:$A$47,Retraite!N$7:$N$47)/LOOKUP($A27,Barèmes!$A$65:$A$148,Barèmes!$C$65:$C$148),IF($A27=INT($B$8+$B$4),(LOOKUP($A27,Retraite!$A$7:$A$47,Retraite!$N$7:$N$47)/LOOKUP($A27,Barèmes!$A$65:$A$148,Barèmes!$C$65:$C$148))*(1-(INT($B$8)+1-$B$8)),0)))</f>
        <v>-9556.5165459620948</v>
      </c>
      <c r="D27" s="115"/>
      <c r="E27" s="131">
        <f>IF($A27&lt;$B$5+$B$4,-(LOOKUP($A27,Cot_droits!$A$17:$A$68,Cot_droits!$H$17:$H$68)+LOOKUP($A27,Cot_droits!$A$17:$A$68,Cot_droits!$L$17:$L$68))/LOOKUP($A27,Barèmes!$A$65:$A$148,Barèmes!$C$65:$C$148),IF(AND($A27&gt;=$B$5+$B$4,$A27&lt;=INT($B$8)-1+$B$4),LOOKUP($A27,Retraite!$A$7:$A$47,Retraite!$L$7:$L$47)/LOOKUP($A27,Barèmes!$A$65:$A$148,Barèmes!$C$65:$C$148),IF($A27=INT($B$8+$B$4),(LOOKUP($A27,Retraite!$A$7:$A$47,Retraite!$L$7:$L$47)/LOOKUP($A27,Barèmes!$A$65:$A$148,Barèmes!$C$65:$C$148))*(1-(INT($B$8)+1-$B$8)),0)))</f>
        <v>-6107.4446853469863</v>
      </c>
      <c r="F27" s="121">
        <f>IF($A27&lt;$B$5+$B$4,-(LOOKUP($A27,Cot_droits!$A$17:$A$68,Cot_droits!$H$17:$H$68)+LOOKUP($A27,Cot_droits!$A$17:$A$68,Cot_droits!$L$17:$L$68))/LOOKUP($A27,Barèmes!$A$65:$A$148,Barèmes!$C$65:$C$148),IF(AND($A27&gt;=$B$5+$B$4,$A27&lt;=INT($B$8)-1+$B$4),LOOKUP($A27,Retraite!$A$7:$A$47,Retraite!$P$7:P$47)/LOOKUP($A27,Barèmes!$A$65:$A$148,Barèmes!$C$65:$C$148),IF($A27=INT($B$8+$B$4),(LOOKUP($A27,Retraite!$A$7:$A$47,Retraite!$P$7:$P$47)/LOOKUP($A27,Barèmes!$A$65:$A$148,Barèmes!$C$65:$C$148))*(1-(INT($B$8)+1-$B$8)),0)))</f>
        <v>-6107.4446853469863</v>
      </c>
      <c r="H27" s="131">
        <f>IF($A27&lt;$B$5+$B$4,-(LOOKUP($A27,Cot_droits!$A$17:$A$68,Cot_droits!$I$17:$I$68)+LOOKUP($A27,Cot_droits!$A$17:$A$68,Cot_droits!$J$17:$J$68)+LOOKUP($A27,Cot_droits!$A$17:$A$68,Cot_droits!$N$17:$N$68))/LOOKUP($A27,Barèmes!$A$65:$A$148,Barèmes!$C$65:$C$148),IF(AND($A27&gt;=$B$5+$B$4,$A27&lt;=INT($B$8)-1+$B$4),LOOKUP($A27,Retraite!$A$7:$A$47,Retraite!$M$7:$M$47)/LOOKUP($A27,Barèmes!$A$65:$A$148,Barèmes!$C$65:$C$148),IF($A27=INT($B$8+$B$4),(LOOKUP($A27,Retraite!$A$7:$A$47,Retraite!$M$7:$M$47)/LOOKUP($A27,Barèmes!$A$65:$A$148,Barèmes!$C$65:$C$148))*(1-(INT($B$8)+1-$B$8)),0)))</f>
        <v>-3449.0718606151099</v>
      </c>
      <c r="I27" s="121">
        <f>IF($A27&lt;$B$5+$B$4,-(LOOKUP($A27,Cot_droits!$A$17:$A$68,Cot_droits!$I$17:$I$68)+LOOKUP($A27,Cot_droits!$A$17:$A$68,Cot_droits!$J$17:$J$68)+LOOKUP($A27,Cot_droits!$A$17:$A$68,Cot_droits!$N$17:$N$68))/LOOKUP($A27,Barèmes!$A$65:$A$148,Barèmes!$C$65:$C$148),IF(AND($A27&gt;=$B$5+$B$4,$A27&lt;=INT($B$8)-1+$B$4),LOOKUP($A27,Retraite!$A$7:$A$47,Retraite!$Q$7:Q$47)/LOOKUP($A27,Barèmes!$A$65:$A$148,Barèmes!$C$65:$C$148),IF($A27=INT($B$8+$B$4),(LOOKUP($A27,Retraite!$A$7:$A$47,Retraite!$Q$7:$Q$47)/LOOKUP($A27,Barèmes!$A$65:$A$148,Barèmes!$C$65:$C$148))*(1-(INT($B$8)+1-$B$8)),0)))</f>
        <v>-3449.0718606151099</v>
      </c>
      <c r="J27" s="115"/>
    </row>
    <row r="28" spans="1:12" s="43" customFormat="1" ht="15.75" customHeight="1" x14ac:dyDescent="0.25">
      <c r="A28" s="125">
        <f t="shared" si="0"/>
        <v>2033</v>
      </c>
      <c r="B28" s="131">
        <f>IF($A28&lt;$B$5+$B$4,-LOOKUP($A28,Cot_droits!$A$17:$A$68,Cot_droits!$Q$17:$Q$68)/LOOKUP($A28,Barèmes!$A$65:$A$148,Barèmes!$C$65:$C$148),IF(AND($A28&gt;=$B$5+$B$4,$A28&lt;=INT($B$8)+$B$4-1),LOOKUP($A28,Retraite!$A$7:$A$47,Retraite!$K$7:$K$47)/LOOKUP($A28,Barèmes!$A$65:$A$148,Barèmes!$C$65:$C$148),IF($A28=INT($B$8+$B$4),(LOOKUP($A28,Retraite!$A$7:$A$47,Retraite!$K$7:$K$47)/LOOKUP($A28,Barèmes!$A$65:$A$148,Barèmes!$C$65:$C$148))*(1-(INT($B$8+1)-$B$8)),0)))</f>
        <v>-9984.124857710518</v>
      </c>
      <c r="C28" s="121">
        <f>IF($A28&lt;$B$5+$B$4,-LOOKUP($A28,Cot_droits!$A$17:$A$68,Cot_droits!$Q$17:$Q$68)/LOOKUP($A28,Barèmes!$A$65:$A$148,Barèmes!$C$65:$C$148),IF(AND($A28&gt;=$B$5+$B$4,$A28&lt;=INT($B$8)-1+$B$4),LOOKUP($A28,Retraite!$A$7:$A$47,Retraite!N$7:$N$47)/LOOKUP($A28,Barèmes!$A$65:$A$148,Barèmes!$C$65:$C$148),IF($A28=INT($B$8+$B$4),(LOOKUP($A28,Retraite!$A$7:$A$47,Retraite!$N$7:$N$47)/LOOKUP($A28,Barèmes!$A$65:$A$148,Barèmes!$C$65:$C$148))*(1-(INT($B$8)+1-$B$8)),0)))</f>
        <v>-9984.124857710518</v>
      </c>
      <c r="D28" s="115"/>
      <c r="E28" s="131">
        <f>IF($A28&lt;$B$5+$B$4,-(LOOKUP($A28,Cot_droits!$A$17:$A$68,Cot_droits!$H$17:$H$68)+LOOKUP($A28,Cot_droits!$A$17:$A$68,Cot_droits!$L$17:$L$68))/LOOKUP($A28,Barèmes!$A$65:$A$148,Barèmes!$C$65:$C$148),IF(AND($A28&gt;=$B$5+$B$4,$A28&lt;=INT($B$8)-1+$B$4),LOOKUP($A28,Retraite!$A$7:$A$47,Retraite!$L$7:$L$47)/LOOKUP($A28,Barèmes!$A$65:$A$148,Barèmes!$C$65:$C$148),IF($A28=INT($B$8+$B$4),(LOOKUP($A28,Retraite!$A$7:$A$47,Retraite!$L$7:$L$47)/LOOKUP($A28,Barèmes!$A$65:$A$148,Barèmes!$C$65:$C$148))*(1-(INT($B$8)+1-$B$8)),0)))</f>
        <v>-6380.7235624815185</v>
      </c>
      <c r="F28" s="121">
        <f>IF($A28&lt;$B$5+$B$4,-(LOOKUP($A28,Cot_droits!$A$17:$A$68,Cot_droits!$H$17:$H$68)+LOOKUP($A28,Cot_droits!$A$17:$A$68,Cot_droits!$L$17:$L$68))/LOOKUP($A28,Barèmes!$A$65:$A$148,Barèmes!$C$65:$C$148),IF(AND($A28&gt;=$B$5+$B$4,$A28&lt;=INT($B$8)-1+$B$4),LOOKUP($A28,Retraite!$A$7:$A$47,Retraite!$P$7:P$47)/LOOKUP($A28,Barèmes!$A$65:$A$148,Barèmes!$C$65:$C$148),IF($A28=INT($B$8+$B$4),(LOOKUP($A28,Retraite!$A$7:$A$47,Retraite!$P$7:$P$47)/LOOKUP($A28,Barèmes!$A$65:$A$148,Barèmes!$C$65:$C$148))*(1-(INT($B$8)+1-$B$8)),0)))</f>
        <v>-6380.7235624815185</v>
      </c>
      <c r="H28" s="131">
        <f>IF($A28&lt;$B$5+$B$4,-(LOOKUP($A28,Cot_droits!$A$17:$A$68,Cot_droits!$I$17:$I$68)+LOOKUP($A28,Cot_droits!$A$17:$A$68,Cot_droits!$J$17:$J$68)+LOOKUP($A28,Cot_droits!$A$17:$A$68,Cot_droits!$N$17:$N$68))/LOOKUP($A28,Barèmes!$A$65:$A$148,Barèmes!$C$65:$C$148),IF(AND($A28&gt;=$B$5+$B$4,$A28&lt;=INT($B$8)-1+$B$4),LOOKUP($A28,Retraite!$A$7:$A$47,Retraite!$M$7:$M$47)/LOOKUP($A28,Barèmes!$A$65:$A$148,Barèmes!$C$65:$C$148),IF($A28=INT($B$8+$B$4),(LOOKUP($A28,Retraite!$A$7:$A$47,Retraite!$M$7:$M$47)/LOOKUP($A28,Barèmes!$A$65:$A$148,Barèmes!$C$65:$C$148))*(1-(INT($B$8)+1-$B$8)),0)))</f>
        <v>-3603.401295229</v>
      </c>
      <c r="I28" s="121">
        <f>IF($A28&lt;$B$5+$B$4,-(LOOKUP($A28,Cot_droits!$A$17:$A$68,Cot_droits!$I$17:$I$68)+LOOKUP($A28,Cot_droits!$A$17:$A$68,Cot_droits!$J$17:$J$68)+LOOKUP($A28,Cot_droits!$A$17:$A$68,Cot_droits!$N$17:$N$68))/LOOKUP($A28,Barèmes!$A$65:$A$148,Barèmes!$C$65:$C$148),IF(AND($A28&gt;=$B$5+$B$4,$A28&lt;=INT($B$8)-1+$B$4),LOOKUP($A28,Retraite!$A$7:$A$47,Retraite!$Q$7:Q$47)/LOOKUP($A28,Barèmes!$A$65:$A$148,Barèmes!$C$65:$C$148),IF($A28=INT($B$8+$B$4),(LOOKUP($A28,Retraite!$A$7:$A$47,Retraite!$Q$7:$Q$47)/LOOKUP($A28,Barèmes!$A$65:$A$148,Barèmes!$C$65:$C$148))*(1-(INT($B$8)+1-$B$8)),0)))</f>
        <v>-3603.401295229</v>
      </c>
      <c r="J28" s="115"/>
    </row>
    <row r="29" spans="1:12" s="43" customFormat="1" ht="15.75" customHeight="1" x14ac:dyDescent="0.25">
      <c r="A29" s="125">
        <f t="shared" si="0"/>
        <v>2034</v>
      </c>
      <c r="B29" s="131">
        <f>IF($A29&lt;$B$5+$B$4,-LOOKUP($A29,Cot_droits!$A$17:$A$68,Cot_droits!$Q$17:$Q$68)/LOOKUP($A29,Barèmes!$A$65:$A$148,Barèmes!$C$65:$C$148),IF(AND($A29&gt;=$B$5+$B$4,$A29&lt;=INT($B$8)+$B$4-1),LOOKUP($A29,Retraite!$A$7:$A$47,Retraite!$K$7:$K$47)/LOOKUP($A29,Barèmes!$A$65:$A$148,Barèmes!$C$65:$C$148),IF($A29=INT($B$8+$B$4),(LOOKUP($A29,Retraite!$A$7:$A$47,Retraite!$K$7:$K$47)/LOOKUP($A29,Barèmes!$A$65:$A$148,Barèmes!$C$65:$C$148))*(1-(INT($B$8+1)-$B$8)),0)))</f>
        <v>-10469.924636232843</v>
      </c>
      <c r="C29" s="121">
        <f>IF($A29&lt;$B$5+$B$4,-LOOKUP($A29,Cot_droits!$A$17:$A$68,Cot_droits!$Q$17:$Q$68)/LOOKUP($A29,Barèmes!$A$65:$A$148,Barèmes!$C$65:$C$148),IF(AND($A29&gt;=$B$5+$B$4,$A29&lt;=INT($B$8)-1+$B$4),LOOKUP($A29,Retraite!$A$7:$A$47,Retraite!N$7:$N$47)/LOOKUP($A29,Barèmes!$A$65:$A$148,Barèmes!$C$65:$C$148),IF($A29=INT($B$8+$B$4),(LOOKUP($A29,Retraite!$A$7:$A$47,Retraite!$N$7:$N$47)/LOOKUP($A29,Barèmes!$A$65:$A$148,Barèmes!$C$65:$C$148))*(1-(INT($B$8)+1-$B$8)),0)))</f>
        <v>-10469.924636232843</v>
      </c>
      <c r="D29" s="115"/>
      <c r="E29" s="131">
        <f>IF($A29&lt;$B$5+$B$4,-(LOOKUP($A29,Cot_droits!$A$17:$A$68,Cot_droits!$H$17:$H$68)+LOOKUP($A29,Cot_droits!$A$17:$A$68,Cot_droits!$L$17:$L$68))/LOOKUP($A29,Barèmes!$A$65:$A$148,Barèmes!$C$65:$C$148),IF(AND($A29&gt;=$B$5+$B$4,$A29&lt;=INT($B$8)-1+$B$4),LOOKUP($A29,Retraite!$A$7:$A$47,Retraite!$L$7:$L$47)/LOOKUP($A29,Barèmes!$A$65:$A$148,Barèmes!$C$65:$C$148),IF($A29=INT($B$8+$B$4),(LOOKUP($A29,Retraite!$A$7:$A$47,Retraite!$L$7:$L$47)/LOOKUP($A29,Barèmes!$A$65:$A$148,Barèmes!$C$65:$C$148))*(1-(INT($B$8)+1-$B$8)),0)))</f>
        <v>-6691.1918446436584</v>
      </c>
      <c r="F29" s="121">
        <f>IF($A29&lt;$B$5+$B$4,-(LOOKUP($A29,Cot_droits!$A$17:$A$68,Cot_droits!$H$17:$H$68)+LOOKUP($A29,Cot_droits!$A$17:$A$68,Cot_droits!$L$17:$L$68))/LOOKUP($A29,Barèmes!$A$65:$A$148,Barèmes!$C$65:$C$148),IF(AND($A29&gt;=$B$5+$B$4,$A29&lt;=INT($B$8)-1+$B$4),LOOKUP($A29,Retraite!$A$7:$A$47,Retraite!$P$7:P$47)/LOOKUP($A29,Barèmes!$A$65:$A$148,Barèmes!$C$65:$C$148),IF($A29=INT($B$8+$B$4),(LOOKUP($A29,Retraite!$A$7:$A$47,Retraite!$P$7:$P$47)/LOOKUP($A29,Barèmes!$A$65:$A$148,Barèmes!$C$65:$C$148))*(1-(INT($B$8)+1-$B$8)),0)))</f>
        <v>-6691.1918446436584</v>
      </c>
      <c r="H29" s="131">
        <f>IF($A29&lt;$B$5+$B$4,-(LOOKUP($A29,Cot_droits!$A$17:$A$68,Cot_droits!$I$17:$I$68)+LOOKUP($A29,Cot_droits!$A$17:$A$68,Cot_droits!$J$17:$J$68)+LOOKUP($A29,Cot_droits!$A$17:$A$68,Cot_droits!$N$17:$N$68))/LOOKUP($A29,Barèmes!$A$65:$A$148,Barèmes!$C$65:$C$148),IF(AND($A29&gt;=$B$5+$B$4,$A29&lt;=INT($B$8)-1+$B$4),LOOKUP($A29,Retraite!$A$7:$A$47,Retraite!$M$7:$M$47)/LOOKUP($A29,Barèmes!$A$65:$A$148,Barèmes!$C$65:$C$148),IF($A29=INT($B$8+$B$4),(LOOKUP($A29,Retraite!$A$7:$A$47,Retraite!$M$7:$M$47)/LOOKUP($A29,Barèmes!$A$65:$A$148,Barèmes!$C$65:$C$148))*(1-(INT($B$8)+1-$B$8)),0)))</f>
        <v>-3778.7327915891851</v>
      </c>
      <c r="I29" s="121">
        <f>IF($A29&lt;$B$5+$B$4,-(LOOKUP($A29,Cot_droits!$A$17:$A$68,Cot_droits!$I$17:$I$68)+LOOKUP($A29,Cot_droits!$A$17:$A$68,Cot_droits!$J$17:$J$68)+LOOKUP($A29,Cot_droits!$A$17:$A$68,Cot_droits!$N$17:$N$68))/LOOKUP($A29,Barèmes!$A$65:$A$148,Barèmes!$C$65:$C$148),IF(AND($A29&gt;=$B$5+$B$4,$A29&lt;=INT($B$8)-1+$B$4),LOOKUP($A29,Retraite!$A$7:$A$47,Retraite!$Q$7:Q$47)/LOOKUP($A29,Barèmes!$A$65:$A$148,Barèmes!$C$65:$C$148),IF($A29=INT($B$8+$B$4),(LOOKUP($A29,Retraite!$A$7:$A$47,Retraite!$Q$7:$Q$47)/LOOKUP($A29,Barèmes!$A$65:$A$148,Barèmes!$C$65:$C$148))*(1-(INT($B$8)+1-$B$8)),0)))</f>
        <v>-3778.7327915891851</v>
      </c>
      <c r="J29" s="115"/>
    </row>
    <row r="30" spans="1:12" s="43" customFormat="1" ht="15.75" customHeight="1" x14ac:dyDescent="0.25">
      <c r="A30" s="125">
        <f t="shared" si="0"/>
        <v>2035</v>
      </c>
      <c r="B30" s="131">
        <f>IF($A30&lt;$B$5+$B$4,-LOOKUP($A30,Cot_droits!$A$17:$A$68,Cot_droits!$Q$17:$Q$68)/LOOKUP($A30,Barèmes!$A$65:$A$148,Barèmes!$C$65:$C$148),IF(AND($A30&gt;=$B$5+$B$4,$A30&lt;=INT($B$8)+$B$4-1),LOOKUP($A30,Retraite!$A$7:$A$47,Retraite!$K$7:$K$47)/LOOKUP($A30,Barèmes!$A$65:$A$148,Barèmes!$C$65:$C$148),IF($A30=INT($B$8+$B$4),(LOOKUP($A30,Retraite!$A$7:$A$47,Retraite!$K$7:$K$47)/LOOKUP($A30,Barèmes!$A$65:$A$148,Barèmes!$C$65:$C$148))*(1-(INT($B$8+1)-$B$8)),0)))</f>
        <v>-10872.093378100382</v>
      </c>
      <c r="C30" s="121">
        <f>IF($A30&lt;$B$5+$B$4,-LOOKUP($A30,Cot_droits!$A$17:$A$68,Cot_droits!$Q$17:$Q$68)/LOOKUP($A30,Barèmes!$A$65:$A$148,Barèmes!$C$65:$C$148),IF(AND($A30&gt;=$B$5+$B$4,$A30&lt;=INT($B$8)-1+$B$4),LOOKUP($A30,Retraite!$A$7:$A$47,Retraite!N$7:$N$47)/LOOKUP($A30,Barèmes!$A$65:$A$148,Barèmes!$C$65:$C$148),IF($A30=INT($B$8+$B$4),(LOOKUP($A30,Retraite!$A$7:$A$47,Retraite!$N$7:$N$47)/LOOKUP($A30,Barèmes!$A$65:$A$148,Barèmes!$C$65:$C$148))*(1-(INT($B$8)+1-$B$8)),0)))</f>
        <v>-10872.093378100382</v>
      </c>
      <c r="D30" s="115"/>
      <c r="E30" s="131">
        <f>IF($A30&lt;$B$5+$B$4,-(LOOKUP($A30,Cot_droits!$A$17:$A$68,Cot_droits!$H$17:$H$68)+LOOKUP($A30,Cot_droits!$A$17:$A$68,Cot_droits!$L$17:$L$68))/LOOKUP($A30,Barèmes!$A$65:$A$148,Barèmes!$C$65:$C$148),IF(AND($A30&gt;=$B$5+$B$4,$A30&lt;=INT($B$8)-1+$B$4),LOOKUP($A30,Retraite!$A$7:$A$47,Retraite!$L$7:$L$47)/LOOKUP($A30,Barèmes!$A$65:$A$148,Barèmes!$C$65:$C$148),IF($A30=INT($B$8+$B$4),(LOOKUP($A30,Retraite!$A$7:$A$47,Retraite!$L$7:$L$47)/LOOKUP($A30,Barèmes!$A$65:$A$148,Barèmes!$C$65:$C$148))*(1-(INT($B$8)+1-$B$8)),0)))</f>
        <v>-6948.212625523216</v>
      </c>
      <c r="F30" s="121">
        <f>IF($A30&lt;$B$5+$B$4,-(LOOKUP($A30,Cot_droits!$A$17:$A$68,Cot_droits!$H$17:$H$68)+LOOKUP($A30,Cot_droits!$A$17:$A$68,Cot_droits!$L$17:$L$68))/LOOKUP($A30,Barèmes!$A$65:$A$148,Barèmes!$C$65:$C$148),IF(AND($A30&gt;=$B$5+$B$4,$A30&lt;=INT($B$8)-1+$B$4),LOOKUP($A30,Retraite!$A$7:$A$47,Retraite!$P$7:P$47)/LOOKUP($A30,Barèmes!$A$65:$A$148,Barèmes!$C$65:$C$148),IF($A30=INT($B$8+$B$4),(LOOKUP($A30,Retraite!$A$7:$A$47,Retraite!$P$7:$P$47)/LOOKUP($A30,Barèmes!$A$65:$A$148,Barèmes!$C$65:$C$148))*(1-(INT($B$8)+1-$B$8)),0)))</f>
        <v>-6948.212625523216</v>
      </c>
      <c r="H30" s="131">
        <f>IF($A30&lt;$B$5+$B$4,-(LOOKUP($A30,Cot_droits!$A$17:$A$68,Cot_droits!$I$17:$I$68)+LOOKUP($A30,Cot_droits!$A$17:$A$68,Cot_droits!$J$17:$J$68)+LOOKUP($A30,Cot_droits!$A$17:$A$68,Cot_droits!$N$17:$N$68))/LOOKUP($A30,Barèmes!$A$65:$A$148,Barèmes!$C$65:$C$148),IF(AND($A30&gt;=$B$5+$B$4,$A30&lt;=INT($B$8)-1+$B$4),LOOKUP($A30,Retraite!$A$7:$A$47,Retraite!$M$7:$M$47)/LOOKUP($A30,Barèmes!$A$65:$A$148,Barèmes!$C$65:$C$148),IF($A30=INT($B$8+$B$4),(LOOKUP($A30,Retraite!$A$7:$A$47,Retraite!$M$7:$M$47)/LOOKUP($A30,Barèmes!$A$65:$A$148,Barèmes!$C$65:$C$148))*(1-(INT($B$8)+1-$B$8)),0)))</f>
        <v>-3923.8807525771672</v>
      </c>
      <c r="I30" s="121">
        <f>IF($A30&lt;$B$5+$B$4,-(LOOKUP($A30,Cot_droits!$A$17:$A$68,Cot_droits!$I$17:$I$68)+LOOKUP($A30,Cot_droits!$A$17:$A$68,Cot_droits!$J$17:$J$68)+LOOKUP($A30,Cot_droits!$A$17:$A$68,Cot_droits!$N$17:$N$68))/LOOKUP($A30,Barèmes!$A$65:$A$148,Barèmes!$C$65:$C$148),IF(AND($A30&gt;=$B$5+$B$4,$A30&lt;=INT($B$8)-1+$B$4),LOOKUP($A30,Retraite!$A$7:$A$47,Retraite!$Q$7:Q$47)/LOOKUP($A30,Barèmes!$A$65:$A$148,Barèmes!$C$65:$C$148),IF($A30=INT($B$8+$B$4),(LOOKUP($A30,Retraite!$A$7:$A$47,Retraite!$Q$7:$Q$47)/LOOKUP($A30,Barèmes!$A$65:$A$148,Barèmes!$C$65:$C$148))*(1-(INT($B$8)+1-$B$8)),0)))</f>
        <v>-3923.8807525771672</v>
      </c>
      <c r="J30" s="115"/>
    </row>
    <row r="31" spans="1:12" s="43" customFormat="1" ht="15.75" customHeight="1" x14ac:dyDescent="0.25">
      <c r="A31" s="125">
        <f t="shared" si="0"/>
        <v>2036</v>
      </c>
      <c r="B31" s="131">
        <f>IF($A31&lt;$B$5+$B$4,-LOOKUP($A31,Cot_droits!$A$17:$A$68,Cot_droits!$Q$17:$Q$68)/LOOKUP($A31,Barèmes!$A$65:$A$148,Barèmes!$C$65:$C$148),IF(AND($A31&gt;=$B$5+$B$4,$A31&lt;=INT($B$8)+$B$4-1),LOOKUP($A31,Retraite!$A$7:$A$47,Retraite!$K$7:$K$47)/LOOKUP($A31,Barèmes!$A$65:$A$148,Barèmes!$C$65:$C$148),IF($A31=INT($B$8+$B$4),(LOOKUP($A31,Retraite!$A$7:$A$47,Retraite!$K$7:$K$47)/LOOKUP($A31,Barèmes!$A$65:$A$148,Barèmes!$C$65:$C$148))*(1-(INT($B$8+1)-$B$8)),0)))</f>
        <v>-11081.001295068028</v>
      </c>
      <c r="C31" s="121">
        <f>IF($A31&lt;$B$5+$B$4,-LOOKUP($A31,Cot_droits!$A$17:$A$68,Cot_droits!$Q$17:$Q$68)/LOOKUP($A31,Barèmes!$A$65:$A$148,Barèmes!$C$65:$C$148),IF(AND($A31&gt;=$B$5+$B$4,$A31&lt;=INT($B$8)-1+$B$4),LOOKUP($A31,Retraite!$A$7:$A$47,Retraite!N$7:$N$47)/LOOKUP($A31,Barèmes!$A$65:$A$148,Barèmes!$C$65:$C$148),IF($A31=INT($B$8+$B$4),(LOOKUP($A31,Retraite!$A$7:$A$47,Retraite!$N$7:$N$47)/LOOKUP($A31,Barèmes!$A$65:$A$148,Barèmes!$C$65:$C$148))*(1-(INT($B$8)+1-$B$8)),0)))</f>
        <v>-11081.001295068028</v>
      </c>
      <c r="D31" s="115"/>
      <c r="E31" s="131">
        <f>IF($A31&lt;$B$5+$B$4,-(LOOKUP($A31,Cot_droits!$A$17:$A$68,Cot_droits!$H$17:$H$68)+LOOKUP($A31,Cot_droits!$A$17:$A$68,Cot_droits!$L$17:$L$68))/LOOKUP($A31,Barèmes!$A$65:$A$148,Barèmes!$C$65:$C$148),IF(AND($A31&gt;=$B$5+$B$4,$A31&lt;=INT($B$8)-1+$B$4),LOOKUP($A31,Retraite!$A$7:$A$47,Retraite!$L$7:$L$47)/LOOKUP($A31,Barèmes!$A$65:$A$148,Barèmes!$C$65:$C$148),IF($A31=INT($B$8+$B$4),(LOOKUP($A31,Retraite!$A$7:$A$47,Retraite!$L$7:$L$47)/LOOKUP($A31,Barèmes!$A$65:$A$148,Barèmes!$C$65:$C$148))*(1-(INT($B$8)+1-$B$8)),0)))</f>
        <v>-7081.7229418685647</v>
      </c>
      <c r="F31" s="121">
        <f>IF($A31&lt;$B$5+$B$4,-(LOOKUP($A31,Cot_droits!$A$17:$A$68,Cot_droits!$H$17:$H$68)+LOOKUP($A31,Cot_droits!$A$17:$A$68,Cot_droits!$L$17:$L$68))/LOOKUP($A31,Barèmes!$A$65:$A$148,Barèmes!$C$65:$C$148),IF(AND($A31&gt;=$B$5+$B$4,$A31&lt;=INT($B$8)-1+$B$4),LOOKUP($A31,Retraite!$A$7:$A$47,Retraite!$P$7:P$47)/LOOKUP($A31,Barèmes!$A$65:$A$148,Barèmes!$C$65:$C$148),IF($A31=INT($B$8+$B$4),(LOOKUP($A31,Retraite!$A$7:$A$47,Retraite!$P$7:$P$47)/LOOKUP($A31,Barèmes!$A$65:$A$148,Barèmes!$C$65:$C$148))*(1-(INT($B$8)+1-$B$8)),0)))</f>
        <v>-7081.7229418685647</v>
      </c>
      <c r="H31" s="131">
        <f>IF($A31&lt;$B$5+$B$4,-(LOOKUP($A31,Cot_droits!$A$17:$A$68,Cot_droits!$I$17:$I$68)+LOOKUP($A31,Cot_droits!$A$17:$A$68,Cot_droits!$J$17:$J$68)+LOOKUP($A31,Cot_droits!$A$17:$A$68,Cot_droits!$N$17:$N$68))/LOOKUP($A31,Barèmes!$A$65:$A$148,Barèmes!$C$65:$C$148),IF(AND($A31&gt;=$B$5+$B$4,$A31&lt;=INT($B$8)-1+$B$4),LOOKUP($A31,Retraite!$A$7:$A$47,Retraite!$M$7:$M$47)/LOOKUP($A31,Barèmes!$A$65:$A$148,Barèmes!$C$65:$C$148),IF($A31=INT($B$8+$B$4),(LOOKUP($A31,Retraite!$A$7:$A$47,Retraite!$M$7:$M$47)/LOOKUP($A31,Barèmes!$A$65:$A$148,Barèmes!$C$65:$C$148))*(1-(INT($B$8)+1-$B$8)),0)))</f>
        <v>-3999.2783531994642</v>
      </c>
      <c r="I31" s="121">
        <f>IF($A31&lt;$B$5+$B$4,-(LOOKUP($A31,Cot_droits!$A$17:$A$68,Cot_droits!$I$17:$I$68)+LOOKUP($A31,Cot_droits!$A$17:$A$68,Cot_droits!$J$17:$J$68)+LOOKUP($A31,Cot_droits!$A$17:$A$68,Cot_droits!$N$17:$N$68))/LOOKUP($A31,Barèmes!$A$65:$A$148,Barèmes!$C$65:$C$148),IF(AND($A31&gt;=$B$5+$B$4,$A31&lt;=INT($B$8)-1+$B$4),LOOKUP($A31,Retraite!$A$7:$A$47,Retraite!$Q$7:Q$47)/LOOKUP($A31,Barèmes!$A$65:$A$148,Barèmes!$C$65:$C$148),IF($A31=INT($B$8+$B$4),(LOOKUP($A31,Retraite!$A$7:$A$47,Retraite!$Q$7:$Q$47)/LOOKUP($A31,Barèmes!$A$65:$A$148,Barèmes!$C$65:$C$148))*(1-(INT($B$8)+1-$B$8)),0)))</f>
        <v>-3999.2783531994642</v>
      </c>
      <c r="J31" s="115"/>
    </row>
    <row r="32" spans="1:12" s="43" customFormat="1" ht="15.75" customHeight="1" x14ac:dyDescent="0.25">
      <c r="A32" s="125">
        <f t="shared" si="0"/>
        <v>2037</v>
      </c>
      <c r="B32" s="131">
        <f>IF($A32&lt;$B$5+$B$4,-LOOKUP($A32,Cot_droits!$A$17:$A$68,Cot_droits!$Q$17:$Q$68)/LOOKUP($A32,Barèmes!$A$65:$A$148,Barèmes!$C$65:$C$148),IF(AND($A32&gt;=$B$5+$B$4,$A32&lt;=INT($B$8)+$B$4-1),LOOKUP($A32,Retraite!$A$7:$A$47,Retraite!$K$7:$K$47)/LOOKUP($A32,Barèmes!$A$65:$A$148,Barèmes!$C$65:$C$148),IF($A32=INT($B$8+$B$4),(LOOKUP($A32,Retraite!$A$7:$A$47,Retraite!$K$7:$K$47)/LOOKUP($A32,Barèmes!$A$65:$A$148,Barèmes!$C$65:$C$148))*(1-(INT($B$8+1)-$B$8)),0)))</f>
        <v>-11587.996098480531</v>
      </c>
      <c r="C32" s="121">
        <f>IF($A32&lt;$B$5+$B$4,-LOOKUP($A32,Cot_droits!$A$17:$A$68,Cot_droits!$Q$17:$Q$68)/LOOKUP($A32,Barèmes!$A$65:$A$148,Barèmes!$C$65:$C$148),IF(AND($A32&gt;=$B$5+$B$4,$A32&lt;=INT($B$8)-1+$B$4),LOOKUP($A32,Retraite!$A$7:$A$47,Retraite!N$7:$N$47)/LOOKUP($A32,Barèmes!$A$65:$A$148,Barèmes!$C$65:$C$148),IF($A32=INT($B$8+$B$4),(LOOKUP($A32,Retraite!$A$7:$A$47,Retraite!$N$7:$N$47)/LOOKUP($A32,Barèmes!$A$65:$A$148,Barèmes!$C$65:$C$148))*(1-(INT($B$8)+1-$B$8)),0)))</f>
        <v>-11587.996098480531</v>
      </c>
      <c r="D32" s="115"/>
      <c r="E32" s="131">
        <f>IF($A32&lt;$B$5+$B$4,-(LOOKUP($A32,Cot_droits!$A$17:$A$68,Cot_droits!$H$17:$H$68)+LOOKUP($A32,Cot_droits!$A$17:$A$68,Cot_droits!$L$17:$L$68))/LOOKUP($A32,Barèmes!$A$65:$A$148,Barèmes!$C$65:$C$148),IF(AND($A32&gt;=$B$5+$B$4,$A32&lt;=INT($B$8)-1+$B$4),LOOKUP($A32,Retraite!$A$7:$A$47,Retraite!$L$7:$L$47)/LOOKUP($A32,Barèmes!$A$65:$A$148,Barèmes!$C$65:$C$148),IF($A32=INT($B$8+$B$4),(LOOKUP($A32,Retraite!$A$7:$A$47,Retraite!$L$7:$L$47)/LOOKUP($A32,Barèmes!$A$65:$A$148,Barèmes!$C$65:$C$148))*(1-(INT($B$8)+1-$B$8)),0)))</f>
        <v>-7405.7366871185068</v>
      </c>
      <c r="F32" s="121">
        <f>IF($A32&lt;$B$5+$B$4,-(LOOKUP($A32,Cot_droits!$A$17:$A$68,Cot_droits!$H$17:$H$68)+LOOKUP($A32,Cot_droits!$A$17:$A$68,Cot_droits!$L$17:$L$68))/LOOKUP($A32,Barèmes!$A$65:$A$148,Barèmes!$C$65:$C$148),IF(AND($A32&gt;=$B$5+$B$4,$A32&lt;=INT($B$8)-1+$B$4),LOOKUP($A32,Retraite!$A$7:$A$47,Retraite!$P$7:P$47)/LOOKUP($A32,Barèmes!$A$65:$A$148,Barèmes!$C$65:$C$148),IF($A32=INT($B$8+$B$4),(LOOKUP($A32,Retraite!$A$7:$A$47,Retraite!$P$7:$P$47)/LOOKUP($A32,Barèmes!$A$65:$A$148,Barèmes!$C$65:$C$148))*(1-(INT($B$8)+1-$B$8)),0)))</f>
        <v>-7405.7366871185068</v>
      </c>
      <c r="H32" s="131">
        <f>IF($A32&lt;$B$5+$B$4,-(LOOKUP($A32,Cot_droits!$A$17:$A$68,Cot_droits!$I$17:$I$68)+LOOKUP($A32,Cot_droits!$A$17:$A$68,Cot_droits!$J$17:$J$68)+LOOKUP($A32,Cot_droits!$A$17:$A$68,Cot_droits!$N$17:$N$68))/LOOKUP($A32,Barèmes!$A$65:$A$148,Barèmes!$C$65:$C$148),IF(AND($A32&gt;=$B$5+$B$4,$A32&lt;=INT($B$8)-1+$B$4),LOOKUP($A32,Retraite!$A$7:$A$47,Retraite!$M$7:$M$47)/LOOKUP($A32,Barèmes!$A$65:$A$148,Barèmes!$C$65:$C$148),IF($A32=INT($B$8+$B$4),(LOOKUP($A32,Retraite!$A$7:$A$47,Retraite!$M$7:$M$47)/LOOKUP($A32,Barèmes!$A$65:$A$148,Barèmes!$C$65:$C$148))*(1-(INT($B$8)+1-$B$8)),0)))</f>
        <v>-4182.2594113620235</v>
      </c>
      <c r="I32" s="121">
        <f>IF($A32&lt;$B$5+$B$4,-(LOOKUP($A32,Cot_droits!$A$17:$A$68,Cot_droits!$I$17:$I$68)+LOOKUP($A32,Cot_droits!$A$17:$A$68,Cot_droits!$J$17:$J$68)+LOOKUP($A32,Cot_droits!$A$17:$A$68,Cot_droits!$N$17:$N$68))/LOOKUP($A32,Barèmes!$A$65:$A$148,Barèmes!$C$65:$C$148),IF(AND($A32&gt;=$B$5+$B$4,$A32&lt;=INT($B$8)-1+$B$4),LOOKUP($A32,Retraite!$A$7:$A$47,Retraite!$Q$7:Q$47)/LOOKUP($A32,Barèmes!$A$65:$A$148,Barèmes!$C$65:$C$148),IF($A32=INT($B$8+$B$4),(LOOKUP($A32,Retraite!$A$7:$A$47,Retraite!$Q$7:$Q$47)/LOOKUP($A32,Barèmes!$A$65:$A$148,Barèmes!$C$65:$C$148))*(1-(INT($B$8)+1-$B$8)),0)))</f>
        <v>-4182.2594113620235</v>
      </c>
      <c r="J32" s="115"/>
    </row>
    <row r="33" spans="1:10" s="43" customFormat="1" ht="15.75" customHeight="1" x14ac:dyDescent="0.25">
      <c r="A33" s="125">
        <f t="shared" si="0"/>
        <v>2038</v>
      </c>
      <c r="B33" s="131">
        <f>IF($A33&lt;$B$5+$B$4,-LOOKUP($A33,Cot_droits!$A$17:$A$68,Cot_droits!$Q$17:$Q$68)/LOOKUP($A33,Barèmes!$A$65:$A$148,Barèmes!$C$65:$C$148),IF(AND($A33&gt;=$B$5+$B$4,$A33&lt;=INT($B$8)+$B$4-1),LOOKUP($A33,Retraite!$A$7:$A$47,Retraite!$K$7:$K$47)/LOOKUP($A33,Barèmes!$A$65:$A$148,Barèmes!$C$65:$C$148),IF($A33=INT($B$8+$B$4),(LOOKUP($A33,Retraite!$A$7:$A$47,Retraite!$K$7:$K$47)/LOOKUP($A33,Barèmes!$A$65:$A$148,Barèmes!$C$65:$C$148))*(1-(INT($B$8+1)-$B$8)),0)))</f>
        <v>-11772.458630848563</v>
      </c>
      <c r="C33" s="121">
        <f>IF($A33&lt;$B$5+$B$4,-LOOKUP($A33,Cot_droits!$A$17:$A$68,Cot_droits!$Q$17:$Q$68)/LOOKUP($A33,Barèmes!$A$65:$A$148,Barèmes!$C$65:$C$148),IF(AND($A33&gt;=$B$5+$B$4,$A33&lt;=INT($B$8)-1+$B$4),LOOKUP($A33,Retraite!$A$7:$A$47,Retraite!N$7:$N$47)/LOOKUP($A33,Barèmes!$A$65:$A$148,Barèmes!$C$65:$C$148),IF($A33=INT($B$8+$B$4),(LOOKUP($A33,Retraite!$A$7:$A$47,Retraite!$N$7:$N$47)/LOOKUP($A33,Barèmes!$A$65:$A$148,Barèmes!$C$65:$C$148))*(1-(INT($B$8)+1-$B$8)),0)))</f>
        <v>-11772.458630848563</v>
      </c>
      <c r="D33" s="115"/>
      <c r="E33" s="131">
        <f>IF($A33&lt;$B$5+$B$4,-(LOOKUP($A33,Cot_droits!$A$17:$A$68,Cot_droits!$H$17:$H$68)+LOOKUP($A33,Cot_droits!$A$17:$A$68,Cot_droits!$L$17:$L$68))/LOOKUP($A33,Barèmes!$A$65:$A$148,Barèmes!$C$65:$C$148),IF(AND($A33&gt;=$B$5+$B$4,$A33&lt;=INT($B$8)-1+$B$4),LOOKUP($A33,Retraite!$A$7:$A$47,Retraite!$L$7:$L$47)/LOOKUP($A33,Barèmes!$A$65:$A$148,Barèmes!$C$65:$C$148),IF($A33=INT($B$8+$B$4),(LOOKUP($A33,Retraite!$A$7:$A$47,Retraite!$L$7:$L$47)/LOOKUP($A33,Barèmes!$A$65:$A$148,Barèmes!$C$65:$C$148))*(1-(INT($B$8)+1-$B$8)),0)))</f>
        <v>-7523.6242780140419</v>
      </c>
      <c r="F33" s="121">
        <f>IF($A33&lt;$B$5+$B$4,-(LOOKUP($A33,Cot_droits!$A$17:$A$68,Cot_droits!$H$17:$H$68)+LOOKUP($A33,Cot_droits!$A$17:$A$68,Cot_droits!$L$17:$L$68))/LOOKUP($A33,Barèmes!$A$65:$A$148,Barèmes!$C$65:$C$148),IF(AND($A33&gt;=$B$5+$B$4,$A33&lt;=INT($B$8)-1+$B$4),LOOKUP($A33,Retraite!$A$7:$A$47,Retraite!$P$7:P$47)/LOOKUP($A33,Barèmes!$A$65:$A$148,Barèmes!$C$65:$C$148),IF($A33=INT($B$8+$B$4),(LOOKUP($A33,Retraite!$A$7:$A$47,Retraite!$P$7:$P$47)/LOOKUP($A33,Barèmes!$A$65:$A$148,Barèmes!$C$65:$C$148))*(1-(INT($B$8)+1-$B$8)),0)))</f>
        <v>-7523.6242780140419</v>
      </c>
      <c r="H33" s="131">
        <f>IF($A33&lt;$B$5+$B$4,-(LOOKUP($A33,Cot_droits!$A$17:$A$68,Cot_droits!$I$17:$I$68)+LOOKUP($A33,Cot_droits!$A$17:$A$68,Cot_droits!$J$17:$J$68)+LOOKUP($A33,Cot_droits!$A$17:$A$68,Cot_droits!$N$17:$N$68))/LOOKUP($A33,Barèmes!$A$65:$A$148,Barèmes!$C$65:$C$148),IF(AND($A33&gt;=$B$5+$B$4,$A33&lt;=INT($B$8)-1+$B$4),LOOKUP($A33,Retraite!$A$7:$A$47,Retraite!$M$7:$M$47)/LOOKUP($A33,Barèmes!$A$65:$A$148,Barèmes!$C$65:$C$148),IF($A33=INT($B$8+$B$4),(LOOKUP($A33,Retraite!$A$7:$A$47,Retraite!$M$7:$M$47)/LOOKUP($A33,Barèmes!$A$65:$A$148,Barèmes!$C$65:$C$148))*(1-(INT($B$8)+1-$B$8)),0)))</f>
        <v>-4248.8343528345213</v>
      </c>
      <c r="I33" s="121">
        <f>IF($A33&lt;$B$5+$B$4,-(LOOKUP($A33,Cot_droits!$A$17:$A$68,Cot_droits!$I$17:$I$68)+LOOKUP($A33,Cot_droits!$A$17:$A$68,Cot_droits!$J$17:$J$68)+LOOKUP($A33,Cot_droits!$A$17:$A$68,Cot_droits!$N$17:$N$68))/LOOKUP($A33,Barèmes!$A$65:$A$148,Barèmes!$C$65:$C$148),IF(AND($A33&gt;=$B$5+$B$4,$A33&lt;=INT($B$8)-1+$B$4),LOOKUP($A33,Retraite!$A$7:$A$47,Retraite!$Q$7:Q$47)/LOOKUP($A33,Barèmes!$A$65:$A$148,Barèmes!$C$65:$C$148),IF($A33=INT($B$8+$B$4),(LOOKUP($A33,Retraite!$A$7:$A$47,Retraite!$Q$7:$Q$47)/LOOKUP($A33,Barèmes!$A$65:$A$148,Barèmes!$C$65:$C$148))*(1-(INT($B$8)+1-$B$8)),0)))</f>
        <v>-4248.8343528345213</v>
      </c>
      <c r="J33" s="115"/>
    </row>
    <row r="34" spans="1:10" s="43" customFormat="1" ht="15.75" customHeight="1" x14ac:dyDescent="0.25">
      <c r="A34" s="125">
        <f t="shared" si="0"/>
        <v>2039</v>
      </c>
      <c r="B34" s="131">
        <f>IF($A34&lt;$B$5+$B$4,-LOOKUP($A34,Cot_droits!$A$17:$A$68,Cot_droits!$Q$17:$Q$68)/LOOKUP($A34,Barèmes!$A$65:$A$148,Barèmes!$C$65:$C$148),IF(AND($A34&gt;=$B$5+$B$4,$A34&lt;=INT($B$8)+$B$4-1),LOOKUP($A34,Retraite!$A$7:$A$47,Retraite!$K$7:$K$47)/LOOKUP($A34,Barèmes!$A$65:$A$148,Barèmes!$C$65:$C$148),IF($A34=INT($B$8+$B$4),(LOOKUP($A34,Retraite!$A$7:$A$47,Retraite!$K$7:$K$47)/LOOKUP($A34,Barèmes!$A$65:$A$148,Barèmes!$C$65:$C$148))*(1-(INT($B$8+1)-$B$8)),0)))</f>
        <v>-12311.988167342868</v>
      </c>
      <c r="C34" s="121">
        <f>IF($A34&lt;$B$5+$B$4,-LOOKUP($A34,Cot_droits!$A$17:$A$68,Cot_droits!$Q$17:$Q$68)/LOOKUP($A34,Barèmes!$A$65:$A$148,Barèmes!$C$65:$C$148),IF(AND($A34&gt;=$B$5+$B$4,$A34&lt;=INT($B$8)-1+$B$4),LOOKUP($A34,Retraite!$A$7:$A$47,Retraite!N$7:$N$47)/LOOKUP($A34,Barèmes!$A$65:$A$148,Barèmes!$C$65:$C$148),IF($A34=INT($B$8+$B$4),(LOOKUP($A34,Retraite!$A$7:$A$47,Retraite!$N$7:$N$47)/LOOKUP($A34,Barèmes!$A$65:$A$148,Barèmes!$C$65:$C$148))*(1-(INT($B$8)+1-$B$8)),0)))</f>
        <v>-12311.988167342868</v>
      </c>
      <c r="D34" s="115"/>
      <c r="E34" s="131">
        <f>IF($A34&lt;$B$5+$B$4,-(LOOKUP($A34,Cot_droits!$A$17:$A$68,Cot_droits!$H$17:$H$68)+LOOKUP($A34,Cot_droits!$A$17:$A$68,Cot_droits!$L$17:$L$68))/LOOKUP($A34,Barèmes!$A$65:$A$148,Barèmes!$C$65:$C$148),IF(AND($A34&gt;=$B$5+$B$4,$A34&lt;=INT($B$8)-1+$B$4),LOOKUP($A34,Retraite!$A$7:$A$47,Retraite!$L$7:$L$47)/LOOKUP($A34,Barèmes!$A$65:$A$148,Barèmes!$C$65:$C$148),IF($A34=INT($B$8+$B$4),(LOOKUP($A34,Retraite!$A$7:$A$47,Retraite!$L$7:$L$47)/LOOKUP($A34,Barèmes!$A$65:$A$148,Barèmes!$C$65:$C$148))*(1-(INT($B$8)+1-$B$8)),0)))</f>
        <v>-7868.4305454862779</v>
      </c>
      <c r="F34" s="121">
        <f>IF($A34&lt;$B$5+$B$4,-(LOOKUP($A34,Cot_droits!$A$17:$A$68,Cot_droits!$H$17:$H$68)+LOOKUP($A34,Cot_droits!$A$17:$A$68,Cot_droits!$L$17:$L$68))/LOOKUP($A34,Barèmes!$A$65:$A$148,Barèmes!$C$65:$C$148),IF(AND($A34&gt;=$B$5+$B$4,$A34&lt;=INT($B$8)-1+$B$4),LOOKUP($A34,Retraite!$A$7:$A$47,Retraite!$P$7:P$47)/LOOKUP($A34,Barèmes!$A$65:$A$148,Barèmes!$C$65:$C$148),IF($A34=INT($B$8+$B$4),(LOOKUP($A34,Retraite!$A$7:$A$47,Retraite!$P$7:$P$47)/LOOKUP($A34,Barèmes!$A$65:$A$148,Barèmes!$C$65:$C$148))*(1-(INT($B$8)+1-$B$8)),0)))</f>
        <v>-7868.4305454862779</v>
      </c>
      <c r="H34" s="131">
        <f>IF($A34&lt;$B$5+$B$4,-(LOOKUP($A34,Cot_droits!$A$17:$A$68,Cot_droits!$I$17:$I$68)+LOOKUP($A34,Cot_droits!$A$17:$A$68,Cot_droits!$J$17:$J$68)+LOOKUP($A34,Cot_droits!$A$17:$A$68,Cot_droits!$N$17:$N$68))/LOOKUP($A34,Barèmes!$A$65:$A$148,Barèmes!$C$65:$C$148),IF(AND($A34&gt;=$B$5+$B$4,$A34&lt;=INT($B$8)-1+$B$4),LOOKUP($A34,Retraite!$A$7:$A$47,Retraite!$M$7:$M$47)/LOOKUP($A34,Barèmes!$A$65:$A$148,Barèmes!$C$65:$C$148),IF($A34=INT($B$8+$B$4),(LOOKUP($A34,Retraite!$A$7:$A$47,Retraite!$M$7:$M$47)/LOOKUP($A34,Barèmes!$A$65:$A$148,Barèmes!$C$65:$C$148))*(1-(INT($B$8)+1-$B$8)),0)))</f>
        <v>-4443.5576218565893</v>
      </c>
      <c r="I34" s="121">
        <f>IF($A34&lt;$B$5+$B$4,-(LOOKUP($A34,Cot_droits!$A$17:$A$68,Cot_droits!$I$17:$I$68)+LOOKUP($A34,Cot_droits!$A$17:$A$68,Cot_droits!$J$17:$J$68)+LOOKUP($A34,Cot_droits!$A$17:$A$68,Cot_droits!$N$17:$N$68))/LOOKUP($A34,Barèmes!$A$65:$A$148,Barèmes!$C$65:$C$148),IF(AND($A34&gt;=$B$5+$B$4,$A34&lt;=INT($B$8)-1+$B$4),LOOKUP($A34,Retraite!$A$7:$A$47,Retraite!$Q$7:Q$47)/LOOKUP($A34,Barèmes!$A$65:$A$148,Barèmes!$C$65:$C$148),IF($A34=INT($B$8+$B$4),(LOOKUP($A34,Retraite!$A$7:$A$47,Retraite!$Q$7:$Q$47)/LOOKUP($A34,Barèmes!$A$65:$A$148,Barèmes!$C$65:$C$148))*(1-(INT($B$8)+1-$B$8)),0)))</f>
        <v>-4443.5576218565893</v>
      </c>
      <c r="J34" s="115"/>
    </row>
    <row r="35" spans="1:10" s="43" customFormat="1" ht="15.75" customHeight="1" x14ac:dyDescent="0.25">
      <c r="A35" s="125">
        <f t="shared" si="0"/>
        <v>2040</v>
      </c>
      <c r="B35" s="131">
        <f>IF($A35&lt;$B$5+$B$4,-LOOKUP($A35,Cot_droits!$A$17:$A$68,Cot_droits!$Q$17:$Q$68)/LOOKUP($A35,Barèmes!$A$65:$A$148,Barèmes!$C$65:$C$148),IF(AND($A35&gt;=$B$5+$B$4,$A35&lt;=INT($B$8)+$B$4-1),LOOKUP($A35,Retraite!$A$7:$A$47,Retraite!$K$7:$K$47)/LOOKUP($A35,Barèmes!$A$65:$A$148,Barèmes!$C$65:$C$148),IF($A35=INT($B$8+$B$4),(LOOKUP($A35,Retraite!$A$7:$A$47,Retraite!$K$7:$K$47)/LOOKUP($A35,Barèmes!$A$65:$A$148,Barèmes!$C$65:$C$148))*(1-(INT($B$8+1)-$B$8)),0)))</f>
        <v>-12401.622457835592</v>
      </c>
      <c r="C35" s="121">
        <f>IF($A35&lt;$B$5+$B$4,-LOOKUP($A35,Cot_droits!$A$17:$A$68,Cot_droits!$Q$17:$Q$68)/LOOKUP($A35,Barèmes!$A$65:$A$148,Barèmes!$C$65:$C$148),IF(AND($A35&gt;=$B$5+$B$4,$A35&lt;=INT($B$8)-1+$B$4),LOOKUP($A35,Retraite!$A$7:$A$47,Retraite!N$7:$N$47)/LOOKUP($A35,Barèmes!$A$65:$A$148,Barèmes!$C$65:$C$148),IF($A35=INT($B$8+$B$4),(LOOKUP($A35,Retraite!$A$7:$A$47,Retraite!$N$7:$N$47)/LOOKUP($A35,Barèmes!$A$65:$A$148,Barèmes!$C$65:$C$148))*(1-(INT($B$8)+1-$B$8)),0)))</f>
        <v>-12401.622457835592</v>
      </c>
      <c r="D35" s="115"/>
      <c r="E35" s="131">
        <f>IF($A35&lt;$B$5+$B$4,-(LOOKUP($A35,Cot_droits!$A$17:$A$68,Cot_droits!$H$17:$H$68)+LOOKUP($A35,Cot_droits!$A$17:$A$68,Cot_droits!$L$17:$L$68))/LOOKUP($A35,Barèmes!$A$65:$A$148,Barèmes!$C$65:$C$148),IF(AND($A35&gt;=$B$5+$B$4,$A35&lt;=INT($B$8)-1+$B$4),LOOKUP($A35,Retraite!$A$7:$A$47,Retraite!$L$7:$L$47)/LOOKUP($A35,Barèmes!$A$65:$A$148,Barèmes!$C$65:$C$148),IF($A35=INT($B$8+$B$4),(LOOKUP($A35,Retraite!$A$7:$A$47,Retraite!$L$7:$L$47)/LOOKUP($A35,Barèmes!$A$65:$A$148,Barèmes!$C$65:$C$148))*(1-(INT($B$8)+1-$B$8)),0)))</f>
        <v>-7925.7146477490378</v>
      </c>
      <c r="F35" s="121">
        <f>IF($A35&lt;$B$5+$B$4,-(LOOKUP($A35,Cot_droits!$A$17:$A$68,Cot_droits!$H$17:$H$68)+LOOKUP($A35,Cot_droits!$A$17:$A$68,Cot_droits!$L$17:$L$68))/LOOKUP($A35,Barèmes!$A$65:$A$148,Barèmes!$C$65:$C$148),IF(AND($A35&gt;=$B$5+$B$4,$A35&lt;=INT($B$8)-1+$B$4),LOOKUP($A35,Retraite!$A$7:$A$47,Retraite!$P$7:P$47)/LOOKUP($A35,Barèmes!$A$65:$A$148,Barèmes!$C$65:$C$148),IF($A35=INT($B$8+$B$4),(LOOKUP($A35,Retraite!$A$7:$A$47,Retraite!$P$7:$P$47)/LOOKUP($A35,Barèmes!$A$65:$A$148,Barèmes!$C$65:$C$148))*(1-(INT($B$8)+1-$B$8)),0)))</f>
        <v>-7925.7146477490378</v>
      </c>
      <c r="H35" s="131">
        <f>IF($A35&lt;$B$5+$B$4,-(LOOKUP($A35,Cot_droits!$A$17:$A$68,Cot_droits!$I$17:$I$68)+LOOKUP($A35,Cot_droits!$A$17:$A$68,Cot_droits!$J$17:$J$68)+LOOKUP($A35,Cot_droits!$A$17:$A$68,Cot_droits!$N$17:$N$68))/LOOKUP($A35,Barèmes!$A$65:$A$148,Barèmes!$C$65:$C$148),IF(AND($A35&gt;=$B$5+$B$4,$A35&lt;=INT($B$8)-1+$B$4),LOOKUP($A35,Retraite!$A$7:$A$47,Retraite!$M$7:$M$47)/LOOKUP($A35,Barèmes!$A$65:$A$148,Barèmes!$C$65:$C$148),IF($A35=INT($B$8+$B$4),(LOOKUP($A35,Retraite!$A$7:$A$47,Retraite!$M$7:$M$47)/LOOKUP($A35,Barèmes!$A$65:$A$148,Barèmes!$C$65:$C$148))*(1-(INT($B$8)+1-$B$8)),0)))</f>
        <v>-4475.9078100865554</v>
      </c>
      <c r="I35" s="121">
        <f>IF($A35&lt;$B$5+$B$4,-(LOOKUP($A35,Cot_droits!$A$17:$A$68,Cot_droits!$I$17:$I$68)+LOOKUP($A35,Cot_droits!$A$17:$A$68,Cot_droits!$J$17:$J$68)+LOOKUP($A35,Cot_droits!$A$17:$A$68,Cot_droits!$N$17:$N$68))/LOOKUP($A35,Barèmes!$A$65:$A$148,Barèmes!$C$65:$C$148),IF(AND($A35&gt;=$B$5+$B$4,$A35&lt;=INT($B$8)-1+$B$4),LOOKUP($A35,Retraite!$A$7:$A$47,Retraite!$Q$7:Q$47)/LOOKUP($A35,Barèmes!$A$65:$A$148,Barèmes!$C$65:$C$148),IF($A35=INT($B$8+$B$4),(LOOKUP($A35,Retraite!$A$7:$A$47,Retraite!$Q$7:$Q$47)/LOOKUP($A35,Barèmes!$A$65:$A$148,Barèmes!$C$65:$C$148))*(1-(INT($B$8)+1-$B$8)),0)))</f>
        <v>-4475.9078100865554</v>
      </c>
      <c r="J35" s="115"/>
    </row>
    <row r="36" spans="1:10" s="43" customFormat="1" ht="15.75" customHeight="1" x14ac:dyDescent="0.25">
      <c r="A36" s="125">
        <f t="shared" si="0"/>
        <v>2041</v>
      </c>
      <c r="B36" s="131">
        <f>IF($A36&lt;$B$5+$B$4,-LOOKUP($A36,Cot_droits!$A$17:$A$68,Cot_droits!$Q$17:$Q$68)/LOOKUP($A36,Barèmes!$A$65:$A$148,Barèmes!$C$65:$C$148),IF(AND($A36&gt;=$B$5+$B$4,$A36&lt;=INT($B$8)+$B$4-1),LOOKUP($A36,Retraite!$A$7:$A$47,Retraite!$K$7:$K$47)/LOOKUP($A36,Barèmes!$A$65:$A$148,Barèmes!$C$65:$C$148),IF($A36=INT($B$8+$B$4),(LOOKUP($A36,Retraite!$A$7:$A$47,Retraite!$K$7:$K$47)/LOOKUP($A36,Barèmes!$A$65:$A$148,Barèmes!$C$65:$C$148))*(1-(INT($B$8+1)-$B$8)),0)))</f>
        <v>-12662.419901981726</v>
      </c>
      <c r="C36" s="121">
        <f>IF($A36&lt;$B$5+$B$4,-LOOKUP($A36,Cot_droits!$A$17:$A$68,Cot_droits!$Q$17:$Q$68)/LOOKUP($A36,Barèmes!$A$65:$A$148,Barèmes!$C$65:$C$148),IF(AND($A36&gt;=$B$5+$B$4,$A36&lt;=INT($B$8)-1+$B$4),LOOKUP($A36,Retraite!$A$7:$A$47,Retraite!N$7:$N$47)/LOOKUP($A36,Barèmes!$A$65:$A$148,Barèmes!$C$65:$C$148),IF($A36=INT($B$8+$B$4),(LOOKUP($A36,Retraite!$A$7:$A$47,Retraite!$N$7:$N$47)/LOOKUP($A36,Barèmes!$A$65:$A$148,Barèmes!$C$65:$C$148))*(1-(INT($B$8)+1-$B$8)),0)))</f>
        <v>-12662.419901981726</v>
      </c>
      <c r="D36" s="115"/>
      <c r="E36" s="131">
        <f>IF($A36&lt;$B$5+$B$4,-(LOOKUP($A36,Cot_droits!$A$17:$A$68,Cot_droits!$H$17:$H$68)+LOOKUP($A36,Cot_droits!$A$17:$A$68,Cot_droits!$L$17:$L$68))/LOOKUP($A36,Barèmes!$A$65:$A$148,Barèmes!$C$65:$C$148),IF(AND($A36&gt;=$B$5+$B$4,$A36&lt;=INT($B$8)-1+$B$4),LOOKUP($A36,Retraite!$A$7:$A$47,Retraite!$L$7:$L$47)/LOOKUP($A36,Barèmes!$A$65:$A$148,Barèmes!$C$65:$C$148),IF($A36=INT($B$8+$B$4),(LOOKUP($A36,Retraite!$A$7:$A$47,Retraite!$L$7:$L$47)/LOOKUP($A36,Barèmes!$A$65:$A$148,Barèmes!$C$65:$C$148))*(1-(INT($B$8)+1-$B$8)),0)))</f>
        <v>-8092.3868819822728</v>
      </c>
      <c r="F36" s="121">
        <f>IF($A36&lt;$B$5+$B$4,-(LOOKUP($A36,Cot_droits!$A$17:$A$68,Cot_droits!$H$17:$H$68)+LOOKUP($A36,Cot_droits!$A$17:$A$68,Cot_droits!$L$17:$L$68))/LOOKUP($A36,Barèmes!$A$65:$A$148,Barèmes!$C$65:$C$148),IF(AND($A36&gt;=$B$5+$B$4,$A36&lt;=INT($B$8)-1+$B$4),LOOKUP($A36,Retraite!$A$7:$A$47,Retraite!$P$7:P$47)/LOOKUP($A36,Barèmes!$A$65:$A$148,Barèmes!$C$65:$C$148),IF($A36=INT($B$8+$B$4),(LOOKUP($A36,Retraite!$A$7:$A$47,Retraite!$P$7:$P$47)/LOOKUP($A36,Barèmes!$A$65:$A$148,Barèmes!$C$65:$C$148))*(1-(INT($B$8)+1-$B$8)),0)))</f>
        <v>-8092.3868819822728</v>
      </c>
      <c r="H36" s="131">
        <f>IF($A36&lt;$B$5+$B$4,-(LOOKUP($A36,Cot_droits!$A$17:$A$68,Cot_droits!$I$17:$I$68)+LOOKUP($A36,Cot_droits!$A$17:$A$68,Cot_droits!$J$17:$J$68)+LOOKUP($A36,Cot_droits!$A$17:$A$68,Cot_droits!$N$17:$N$68))/LOOKUP($A36,Barèmes!$A$65:$A$148,Barèmes!$C$65:$C$148),IF(AND($A36&gt;=$B$5+$B$4,$A36&lt;=INT($B$8)-1+$B$4),LOOKUP($A36,Retraite!$A$7:$A$47,Retraite!$M$7:$M$47)/LOOKUP($A36,Barèmes!$A$65:$A$148,Barèmes!$C$65:$C$148),IF($A36=INT($B$8+$B$4),(LOOKUP($A36,Retraite!$A$7:$A$47,Retraite!$M$7:$M$47)/LOOKUP($A36,Barèmes!$A$65:$A$148,Barèmes!$C$65:$C$148))*(1-(INT($B$8)+1-$B$8)),0)))</f>
        <v>-4570.0330199994542</v>
      </c>
      <c r="I36" s="121">
        <f>IF($A36&lt;$B$5+$B$4,-(LOOKUP($A36,Cot_droits!$A$17:$A$68,Cot_droits!$I$17:$I$68)+LOOKUP($A36,Cot_droits!$A$17:$A$68,Cot_droits!$J$17:$J$68)+LOOKUP($A36,Cot_droits!$A$17:$A$68,Cot_droits!$N$17:$N$68))/LOOKUP($A36,Barèmes!$A$65:$A$148,Barèmes!$C$65:$C$148),IF(AND($A36&gt;=$B$5+$B$4,$A36&lt;=INT($B$8)-1+$B$4),LOOKUP($A36,Retraite!$A$7:$A$47,Retraite!$Q$7:Q$47)/LOOKUP($A36,Barèmes!$A$65:$A$148,Barèmes!$C$65:$C$148),IF($A36=INT($B$8+$B$4),(LOOKUP($A36,Retraite!$A$7:$A$47,Retraite!$Q$7:$Q$47)/LOOKUP($A36,Barèmes!$A$65:$A$148,Barèmes!$C$65:$C$148))*(1-(INT($B$8)+1-$B$8)),0)))</f>
        <v>-4570.0330199994542</v>
      </c>
      <c r="J36" s="115"/>
    </row>
    <row r="37" spans="1:10" s="43" customFormat="1" ht="15.75" customHeight="1" x14ac:dyDescent="0.25">
      <c r="A37" s="125">
        <f t="shared" si="0"/>
        <v>2042</v>
      </c>
      <c r="B37" s="131">
        <f>IF($A37&lt;$B$5+$B$4,-LOOKUP($A37,Cot_droits!$A$17:$A$68,Cot_droits!$Q$17:$Q$68)/LOOKUP($A37,Barèmes!$A$65:$A$148,Barèmes!$C$65:$C$148),IF(AND($A37&gt;=$B$5+$B$4,$A37&lt;=INT($B$8)+$B$4-1),LOOKUP($A37,Retraite!$A$7:$A$47,Retraite!$K$7:$K$47)/LOOKUP($A37,Barèmes!$A$65:$A$148,Barèmes!$C$65:$C$148),IF($A37=INT($B$8+$B$4),(LOOKUP($A37,Retraite!$A$7:$A$47,Retraite!$K$7:$K$47)/LOOKUP($A37,Barèmes!$A$65:$A$148,Barèmes!$C$65:$C$148))*(1-(INT($B$8+1)-$B$8)),0)))</f>
        <v>-12806.430597832286</v>
      </c>
      <c r="C37" s="121">
        <f>IF($A37&lt;$B$5+$B$4,-LOOKUP($A37,Cot_droits!$A$17:$A$68,Cot_droits!$Q$17:$Q$68)/LOOKUP($A37,Barèmes!$A$65:$A$148,Barèmes!$C$65:$C$148),IF(AND($A37&gt;=$B$5+$B$4,$A37&lt;=INT($B$8)-1+$B$4),LOOKUP($A37,Retraite!$A$7:$A$47,Retraite!N$7:$N$47)/LOOKUP($A37,Barèmes!$A$65:$A$148,Barèmes!$C$65:$C$148),IF($A37=INT($B$8+$B$4),(LOOKUP($A37,Retraite!$A$7:$A$47,Retraite!$N$7:$N$47)/LOOKUP($A37,Barèmes!$A$65:$A$148,Barèmes!$C$65:$C$148))*(1-(INT($B$8)+1-$B$8)),0)))</f>
        <v>-12806.430597832286</v>
      </c>
      <c r="D37" s="115"/>
      <c r="E37" s="131">
        <f>IF($A37&lt;$B$5+$B$4,-(LOOKUP($A37,Cot_droits!$A$17:$A$68,Cot_droits!$H$17:$H$68)+LOOKUP($A37,Cot_droits!$A$17:$A$68,Cot_droits!$L$17:$L$68))/LOOKUP($A37,Barèmes!$A$65:$A$148,Barèmes!$C$65:$C$148),IF(AND($A37&gt;=$B$5+$B$4,$A37&lt;=INT($B$8)-1+$B$4),LOOKUP($A37,Retraite!$A$7:$A$47,Retraite!$L$7:$L$47)/LOOKUP($A37,Barèmes!$A$65:$A$148,Barèmes!$C$65:$C$148),IF($A37=INT($B$8+$B$4),(LOOKUP($A37,Retraite!$A$7:$A$47,Retraite!$L$7:$L$47)/LOOKUP($A37,Barèmes!$A$65:$A$148,Barèmes!$C$65:$C$148))*(1-(INT($B$8)+1-$B$8)),0)))</f>
        <v>-8184.4222334385786</v>
      </c>
      <c r="F37" s="121">
        <f>IF($A37&lt;$B$5+$B$4,-(LOOKUP($A37,Cot_droits!$A$17:$A$68,Cot_droits!$H$17:$H$68)+LOOKUP($A37,Cot_droits!$A$17:$A$68,Cot_droits!$L$17:$L$68))/LOOKUP($A37,Barèmes!$A$65:$A$148,Barèmes!$C$65:$C$148),IF(AND($A37&gt;=$B$5+$B$4,$A37&lt;=INT($B$8)-1+$B$4),LOOKUP($A37,Retraite!$A$7:$A$47,Retraite!$P$7:P$47)/LOOKUP($A37,Barèmes!$A$65:$A$148,Barèmes!$C$65:$C$148),IF($A37=INT($B$8+$B$4),(LOOKUP($A37,Retraite!$A$7:$A$47,Retraite!$P$7:$P$47)/LOOKUP($A37,Barèmes!$A$65:$A$148,Barèmes!$C$65:$C$148))*(1-(INT($B$8)+1-$B$8)),0)))</f>
        <v>-8184.4222334385786</v>
      </c>
      <c r="H37" s="131">
        <f>IF($A37&lt;$B$5+$B$4,-(LOOKUP($A37,Cot_droits!$A$17:$A$68,Cot_droits!$I$17:$I$68)+LOOKUP($A37,Cot_droits!$A$17:$A$68,Cot_droits!$J$17:$J$68)+LOOKUP($A37,Cot_droits!$A$17:$A$68,Cot_droits!$N$17:$N$68))/LOOKUP($A37,Barèmes!$A$65:$A$148,Barèmes!$C$65:$C$148),IF(AND($A37&gt;=$B$5+$B$4,$A37&lt;=INT($B$8)-1+$B$4),LOOKUP($A37,Retraite!$A$7:$A$47,Retraite!$M$7:$M$47)/LOOKUP($A37,Barèmes!$A$65:$A$148,Barèmes!$C$65:$C$148),IF($A37=INT($B$8+$B$4),(LOOKUP($A37,Retraite!$A$7:$A$47,Retraite!$M$7:$M$47)/LOOKUP($A37,Barèmes!$A$65:$A$148,Barèmes!$C$65:$C$148))*(1-(INT($B$8)+1-$B$8)),0)))</f>
        <v>-4622.0083643937087</v>
      </c>
      <c r="I37" s="121">
        <f>IF($A37&lt;$B$5+$B$4,-(LOOKUP($A37,Cot_droits!$A$17:$A$68,Cot_droits!$I$17:$I$68)+LOOKUP($A37,Cot_droits!$A$17:$A$68,Cot_droits!$J$17:$J$68)+LOOKUP($A37,Cot_droits!$A$17:$A$68,Cot_droits!$N$17:$N$68))/LOOKUP($A37,Barèmes!$A$65:$A$148,Barèmes!$C$65:$C$148),IF(AND($A37&gt;=$B$5+$B$4,$A37&lt;=INT($B$8)-1+$B$4),LOOKUP($A37,Retraite!$A$7:$A$47,Retraite!$Q$7:Q$47)/LOOKUP($A37,Barèmes!$A$65:$A$148,Barèmes!$C$65:$C$148),IF($A37=INT($B$8+$B$4),(LOOKUP($A37,Retraite!$A$7:$A$47,Retraite!$Q$7:$Q$47)/LOOKUP($A37,Barèmes!$A$65:$A$148,Barèmes!$C$65:$C$148))*(1-(INT($B$8)+1-$B$8)),0)))</f>
        <v>-4622.0083643937087</v>
      </c>
      <c r="J37" s="115"/>
    </row>
    <row r="38" spans="1:10" s="43" customFormat="1" ht="15.75" customHeight="1" x14ac:dyDescent="0.25">
      <c r="A38" s="125">
        <f t="shared" si="0"/>
        <v>2043</v>
      </c>
      <c r="B38" s="131">
        <f>IF($A38&lt;$B$5+$B$4,-LOOKUP($A38,Cot_droits!$A$17:$A$68,Cot_droits!$Q$17:$Q$68)/LOOKUP($A38,Barèmes!$A$65:$A$148,Barèmes!$C$65:$C$148),IF(AND($A38&gt;=$B$5+$B$4,$A38&lt;=INT($B$8)+$B$4-1),LOOKUP($A38,Retraite!$A$7:$A$47,Retraite!$K$7:$K$47)/LOOKUP($A38,Barèmes!$A$65:$A$148,Barèmes!$C$65:$C$148),IF($A38=INT($B$8+$B$4),(LOOKUP($A38,Retraite!$A$7:$A$47,Retraite!$K$7:$K$47)/LOOKUP($A38,Barèmes!$A$65:$A$148,Barèmes!$C$65:$C$148))*(1-(INT($B$8+1)-$B$8)),0)))</f>
        <v>-13019.982889349158</v>
      </c>
      <c r="C38" s="121">
        <f>IF($A38&lt;$B$5+$B$4,-LOOKUP($A38,Cot_droits!$A$17:$A$68,Cot_droits!$Q$17:$Q$68)/LOOKUP($A38,Barèmes!$A$65:$A$148,Barèmes!$C$65:$C$148),IF(AND($A38&gt;=$B$5+$B$4,$A38&lt;=INT($B$8)-1+$B$4),LOOKUP($A38,Retraite!$A$7:$A$47,Retraite!N$7:$N$47)/LOOKUP($A38,Barèmes!$A$65:$A$148,Barèmes!$C$65:$C$148),IF($A38=INT($B$8+$B$4),(LOOKUP($A38,Retraite!$A$7:$A$47,Retraite!$N$7:$N$47)/LOOKUP($A38,Barèmes!$A$65:$A$148,Barèmes!$C$65:$C$148))*(1-(INT($B$8)+1-$B$8)),0)))</f>
        <v>-13019.982889349158</v>
      </c>
      <c r="D38" s="115"/>
      <c r="E38" s="131">
        <f>IF($A38&lt;$B$5+$B$4,-(LOOKUP($A38,Cot_droits!$A$17:$A$68,Cot_droits!$H$17:$H$68)+LOOKUP($A38,Cot_droits!$A$17:$A$68,Cot_droits!$L$17:$L$68))/LOOKUP($A38,Barèmes!$A$65:$A$148,Barèmes!$C$65:$C$148),IF(AND($A38&gt;=$B$5+$B$4,$A38&lt;=INT($B$8)-1+$B$4),LOOKUP($A38,Retraite!$A$7:$A$47,Retraite!$L$7:$L$47)/LOOKUP($A38,Barèmes!$A$65:$A$148,Barèmes!$C$65:$C$148),IF($A38=INT($B$8+$B$4),(LOOKUP($A38,Retraite!$A$7:$A$47,Retraite!$L$7:$L$47)/LOOKUP($A38,Barèmes!$A$65:$A$148,Barèmes!$C$65:$C$148))*(1-(INT($B$8)+1-$B$8)),0)))</f>
        <v>-8320.9007087905084</v>
      </c>
      <c r="F38" s="121">
        <f>IF($A38&lt;$B$5+$B$4,-(LOOKUP($A38,Cot_droits!$A$17:$A$68,Cot_droits!$H$17:$H$68)+LOOKUP($A38,Cot_droits!$A$17:$A$68,Cot_droits!$L$17:$L$68))/LOOKUP($A38,Barèmes!$A$65:$A$148,Barèmes!$C$65:$C$148),IF(AND($A38&gt;=$B$5+$B$4,$A38&lt;=INT($B$8)-1+$B$4),LOOKUP($A38,Retraite!$A$7:$A$47,Retraite!$P$7:P$47)/LOOKUP($A38,Barèmes!$A$65:$A$148,Barèmes!$C$65:$C$148),IF($A38=INT($B$8+$B$4),(LOOKUP($A38,Retraite!$A$7:$A$47,Retraite!$P$7:$P$47)/LOOKUP($A38,Barèmes!$A$65:$A$148,Barèmes!$C$65:$C$148))*(1-(INT($B$8)+1-$B$8)),0)))</f>
        <v>-8320.9007087905084</v>
      </c>
      <c r="H38" s="131">
        <f>IF($A38&lt;$B$5+$B$4,-(LOOKUP($A38,Cot_droits!$A$17:$A$68,Cot_droits!$I$17:$I$68)+LOOKUP($A38,Cot_droits!$A$17:$A$68,Cot_droits!$J$17:$J$68)+LOOKUP($A38,Cot_droits!$A$17:$A$68,Cot_droits!$N$17:$N$68))/LOOKUP($A38,Barèmes!$A$65:$A$148,Barèmes!$C$65:$C$148),IF(AND($A38&gt;=$B$5+$B$4,$A38&lt;=INT($B$8)-1+$B$4),LOOKUP($A38,Retraite!$A$7:$A$47,Retraite!$M$7:$M$47)/LOOKUP($A38,Barèmes!$A$65:$A$148,Barèmes!$C$65:$C$148),IF($A38=INT($B$8+$B$4),(LOOKUP($A38,Retraite!$A$7:$A$47,Retraite!$M$7:$M$47)/LOOKUP($A38,Barèmes!$A$65:$A$148,Barèmes!$C$65:$C$148))*(1-(INT($B$8)+1-$B$8)),0)))</f>
        <v>-4699.0821805586511</v>
      </c>
      <c r="I38" s="121">
        <f>IF($A38&lt;$B$5+$B$4,-(LOOKUP($A38,Cot_droits!$A$17:$A$68,Cot_droits!$I$17:$I$68)+LOOKUP($A38,Cot_droits!$A$17:$A$68,Cot_droits!$J$17:$J$68)+LOOKUP($A38,Cot_droits!$A$17:$A$68,Cot_droits!$N$17:$N$68))/LOOKUP($A38,Barèmes!$A$65:$A$148,Barèmes!$C$65:$C$148),IF(AND($A38&gt;=$B$5+$B$4,$A38&lt;=INT($B$8)-1+$B$4),LOOKUP($A38,Retraite!$A$7:$A$47,Retraite!$Q$7:Q$47)/LOOKUP($A38,Barèmes!$A$65:$A$148,Barèmes!$C$65:$C$148),IF($A38=INT($B$8+$B$4),(LOOKUP($A38,Retraite!$A$7:$A$47,Retraite!$Q$7:$Q$47)/LOOKUP($A38,Barèmes!$A$65:$A$148,Barèmes!$C$65:$C$148))*(1-(INT($B$8)+1-$B$8)),0)))</f>
        <v>-4699.0821805586511</v>
      </c>
      <c r="J38" s="115"/>
    </row>
    <row r="39" spans="1:10" s="43" customFormat="1" ht="15.75" customHeight="1" x14ac:dyDescent="0.25">
      <c r="A39" s="125">
        <f t="shared" si="0"/>
        <v>2044</v>
      </c>
      <c r="B39" s="131">
        <f>IF($A39&lt;$B$5+$B$4,-LOOKUP($A39,Cot_droits!$A$17:$A$68,Cot_droits!$Q$17:$Q$68)/LOOKUP($A39,Barèmes!$A$65:$A$148,Barèmes!$C$65:$C$148),IF(AND($A39&gt;=$B$5+$B$4,$A39&lt;=INT($B$8)+$B$4-1),LOOKUP($A39,Retraite!$A$7:$A$47,Retraite!$K$7:$K$47)/LOOKUP($A39,Barèmes!$A$65:$A$148,Barèmes!$C$65:$C$148),IF($A39=INT($B$8+$B$4),(LOOKUP($A39,Retraite!$A$7:$A$47,Retraite!$K$7:$K$47)/LOOKUP($A39,Barèmes!$A$65:$A$148,Barèmes!$C$65:$C$148))*(1-(INT($B$8+1)-$B$8)),0)))</f>
        <v>-13190.280807032941</v>
      </c>
      <c r="C39" s="121">
        <f>IF($A39&lt;$B$5+$B$4,-LOOKUP($A39,Cot_droits!$A$17:$A$68,Cot_droits!$Q$17:$Q$68)/LOOKUP($A39,Barèmes!$A$65:$A$148,Barèmes!$C$65:$C$148),IF(AND($A39&gt;=$B$5+$B$4,$A39&lt;=INT($B$8)-1+$B$4),LOOKUP($A39,Retraite!$A$7:$A$47,Retraite!N$7:$N$47)/LOOKUP($A39,Barèmes!$A$65:$A$148,Barèmes!$C$65:$C$148),IF($A39=INT($B$8+$B$4),(LOOKUP($A39,Retraite!$A$7:$A$47,Retraite!$N$7:$N$47)/LOOKUP($A39,Barèmes!$A$65:$A$148,Barèmes!$C$65:$C$148))*(1-(INT($B$8)+1-$B$8)),0)))</f>
        <v>-13190.280807032941</v>
      </c>
      <c r="D39" s="115"/>
      <c r="E39" s="131">
        <f>IF($A39&lt;$B$5+$B$4,-(LOOKUP($A39,Cot_droits!$A$17:$A$68,Cot_droits!$H$17:$H$68)+LOOKUP($A39,Cot_droits!$A$17:$A$68,Cot_droits!$L$17:$L$68))/LOOKUP($A39,Barèmes!$A$65:$A$148,Barèmes!$C$65:$C$148),IF(AND($A39&gt;=$B$5+$B$4,$A39&lt;=INT($B$8)-1+$B$4),LOOKUP($A39,Retraite!$A$7:$A$47,Retraite!$L$7:$L$47)/LOOKUP($A39,Barèmes!$A$65:$A$148,Barèmes!$C$65:$C$148),IF($A39=INT($B$8+$B$4),(LOOKUP($A39,Retraite!$A$7:$A$47,Retraite!$L$7:$L$47)/LOOKUP($A39,Barèmes!$A$65:$A$148,Barèmes!$C$65:$C$148))*(1-(INT($B$8)+1-$B$8)),0)))</f>
        <v>-8429.7358797736979</v>
      </c>
      <c r="F39" s="121">
        <f>IF($A39&lt;$B$5+$B$4,-(LOOKUP($A39,Cot_droits!$A$17:$A$68,Cot_droits!$H$17:$H$68)+LOOKUP($A39,Cot_droits!$A$17:$A$68,Cot_droits!$L$17:$L$68))/LOOKUP($A39,Barèmes!$A$65:$A$148,Barèmes!$C$65:$C$148),IF(AND($A39&gt;=$B$5+$B$4,$A39&lt;=INT($B$8)-1+$B$4),LOOKUP($A39,Retraite!$A$7:$A$47,Retraite!$P$7:P$47)/LOOKUP($A39,Barèmes!$A$65:$A$148,Barèmes!$C$65:$C$148),IF($A39=INT($B$8+$B$4),(LOOKUP($A39,Retraite!$A$7:$A$47,Retraite!$P$7:$P$47)/LOOKUP($A39,Barèmes!$A$65:$A$148,Barèmes!$C$65:$C$148))*(1-(INT($B$8)+1-$B$8)),0)))</f>
        <v>-8429.7358797736979</v>
      </c>
      <c r="H39" s="131">
        <f>IF($A39&lt;$B$5+$B$4,-(LOOKUP($A39,Cot_droits!$A$17:$A$68,Cot_droits!$I$17:$I$68)+LOOKUP($A39,Cot_droits!$A$17:$A$68,Cot_droits!$J$17:$J$68)+LOOKUP($A39,Cot_droits!$A$17:$A$68,Cot_droits!$N$17:$N$68))/LOOKUP($A39,Barèmes!$A$65:$A$148,Barèmes!$C$65:$C$148),IF(AND($A39&gt;=$B$5+$B$4,$A39&lt;=INT($B$8)-1+$B$4),LOOKUP($A39,Retraite!$A$7:$A$47,Retraite!$M$7:$M$47)/LOOKUP($A39,Barèmes!$A$65:$A$148,Barèmes!$C$65:$C$148),IF($A39=INT($B$8+$B$4),(LOOKUP($A39,Retraite!$A$7:$A$47,Retraite!$M$7:$M$47)/LOOKUP($A39,Barèmes!$A$65:$A$148,Barèmes!$C$65:$C$148))*(1-(INT($B$8)+1-$B$8)),0)))</f>
        <v>-4760.5449272592423</v>
      </c>
      <c r="I39" s="121">
        <f>IF($A39&lt;$B$5+$B$4,-(LOOKUP($A39,Cot_droits!$A$17:$A$68,Cot_droits!$I$17:$I$68)+LOOKUP($A39,Cot_droits!$A$17:$A$68,Cot_droits!$J$17:$J$68)+LOOKUP($A39,Cot_droits!$A$17:$A$68,Cot_droits!$N$17:$N$68))/LOOKUP($A39,Barèmes!$A$65:$A$148,Barèmes!$C$65:$C$148),IF(AND($A39&gt;=$B$5+$B$4,$A39&lt;=INT($B$8)-1+$B$4),LOOKUP($A39,Retraite!$A$7:$A$47,Retraite!$Q$7:Q$47)/LOOKUP($A39,Barèmes!$A$65:$A$148,Barèmes!$C$65:$C$148),IF($A39=INT($B$8+$B$4),(LOOKUP($A39,Retraite!$A$7:$A$47,Retraite!$Q$7:$Q$47)/LOOKUP($A39,Barèmes!$A$65:$A$148,Barèmes!$C$65:$C$148))*(1-(INT($B$8)+1-$B$8)),0)))</f>
        <v>-4760.5449272592423</v>
      </c>
      <c r="J39" s="115"/>
    </row>
    <row r="40" spans="1:10" s="43" customFormat="1" ht="15.75" customHeight="1" x14ac:dyDescent="0.25">
      <c r="A40" s="125">
        <f t="shared" si="0"/>
        <v>2045</v>
      </c>
      <c r="B40" s="131">
        <f>IF($A40&lt;$B$5+$B$4,-LOOKUP($A40,Cot_droits!$A$17:$A$68,Cot_droits!$Q$17:$Q$68)/LOOKUP($A40,Barèmes!$A$65:$A$148,Barèmes!$C$65:$C$148),IF(AND($A40&gt;=$B$5+$B$4,$A40&lt;=INT($B$8)+$B$4-1),LOOKUP($A40,Retraite!$A$7:$A$47,Retraite!$K$7:$K$47)/LOOKUP($A40,Barèmes!$A$65:$A$148,Barèmes!$C$65:$C$148),IF($A40=INT($B$8+$B$4),(LOOKUP($A40,Retraite!$A$7:$A$47,Retraite!$K$7:$K$47)/LOOKUP($A40,Barèmes!$A$65:$A$148,Barèmes!$C$65:$C$148))*(1-(INT($B$8+1)-$B$8)),0)))</f>
        <v>-13397.525755954572</v>
      </c>
      <c r="C40" s="121">
        <f>IF($A40&lt;$B$5+$B$4,-LOOKUP($A40,Cot_droits!$A$17:$A$68,Cot_droits!$Q$17:$Q$68)/LOOKUP($A40,Barèmes!$A$65:$A$148,Barèmes!$C$65:$C$148),IF(AND($A40&gt;=$B$5+$B$4,$A40&lt;=INT($B$8)-1+$B$4),LOOKUP($A40,Retraite!$A$7:$A$47,Retraite!N$7:$N$47)/LOOKUP($A40,Barèmes!$A$65:$A$148,Barèmes!$C$65:$C$148),IF($A40=INT($B$8+$B$4),(LOOKUP($A40,Retraite!$A$7:$A$47,Retraite!$N$7:$N$47)/LOOKUP($A40,Barèmes!$A$65:$A$148,Barèmes!$C$65:$C$148))*(1-(INT($B$8)+1-$B$8)),0)))</f>
        <v>-13397.525755954572</v>
      </c>
      <c r="D40" s="115"/>
      <c r="E40" s="131">
        <f>IF($A40&lt;$B$5+$B$4,-(LOOKUP($A40,Cot_droits!$A$17:$A$68,Cot_droits!$H$17:$H$68)+LOOKUP($A40,Cot_droits!$A$17:$A$68,Cot_droits!$L$17:$L$68))/LOOKUP($A40,Barèmes!$A$65:$A$148,Barèmes!$C$65:$C$148),IF(AND($A40&gt;=$B$5+$B$4,$A40&lt;=INT($B$8)-1+$B$4),LOOKUP($A40,Retraite!$A$7:$A$47,Retraite!$L$7:$L$47)/LOOKUP($A40,Barèmes!$A$65:$A$148,Barèmes!$C$65:$C$148),IF($A40=INT($B$8+$B$4),(LOOKUP($A40,Retraite!$A$7:$A$47,Retraite!$L$7:$L$47)/LOOKUP($A40,Barèmes!$A$65:$A$148,Barèmes!$C$65:$C$148))*(1-(INT($B$8)+1-$B$8)),0)))</f>
        <v>-8562.183414999412</v>
      </c>
      <c r="F40" s="121">
        <f>IF($A40&lt;$B$5+$B$4,-(LOOKUP($A40,Cot_droits!$A$17:$A$68,Cot_droits!$H$17:$H$68)+LOOKUP($A40,Cot_droits!$A$17:$A$68,Cot_droits!$L$17:$L$68))/LOOKUP($A40,Barèmes!$A$65:$A$148,Barèmes!$C$65:$C$148),IF(AND($A40&gt;=$B$5+$B$4,$A40&lt;=INT($B$8)-1+$B$4),LOOKUP($A40,Retraite!$A$7:$A$47,Retraite!$P$7:P$47)/LOOKUP($A40,Barèmes!$A$65:$A$148,Barèmes!$C$65:$C$148),IF($A40=INT($B$8+$B$4),(LOOKUP($A40,Retraite!$A$7:$A$47,Retraite!$P$7:$P$47)/LOOKUP($A40,Barèmes!$A$65:$A$148,Barèmes!$C$65:$C$148))*(1-(INT($B$8)+1-$B$8)),0)))</f>
        <v>-8562.183414999412</v>
      </c>
      <c r="H40" s="131">
        <f>IF($A40&lt;$B$5+$B$4,-(LOOKUP($A40,Cot_droits!$A$17:$A$68,Cot_droits!$I$17:$I$68)+LOOKUP($A40,Cot_droits!$A$17:$A$68,Cot_droits!$J$17:$J$68)+LOOKUP($A40,Cot_droits!$A$17:$A$68,Cot_droits!$N$17:$N$68))/LOOKUP($A40,Barèmes!$A$65:$A$148,Barèmes!$C$65:$C$148),IF(AND($A40&gt;=$B$5+$B$4,$A40&lt;=INT($B$8)-1+$B$4),LOOKUP($A40,Retraite!$A$7:$A$47,Retraite!$M$7:$M$47)/LOOKUP($A40,Barèmes!$A$65:$A$148,Barèmes!$C$65:$C$148),IF($A40=INT($B$8+$B$4),(LOOKUP($A40,Retraite!$A$7:$A$47,Retraite!$M$7:$M$47)/LOOKUP($A40,Barèmes!$A$65:$A$148,Barèmes!$C$65:$C$148))*(1-(INT($B$8)+1-$B$8)),0)))</f>
        <v>-4835.3423409551606</v>
      </c>
      <c r="I40" s="121">
        <f>IF($A40&lt;$B$5+$B$4,-(LOOKUP($A40,Cot_droits!$A$17:$A$68,Cot_droits!$I$17:$I$68)+LOOKUP($A40,Cot_droits!$A$17:$A$68,Cot_droits!$J$17:$J$68)+LOOKUP($A40,Cot_droits!$A$17:$A$68,Cot_droits!$N$17:$N$68))/LOOKUP($A40,Barèmes!$A$65:$A$148,Barèmes!$C$65:$C$148),IF(AND($A40&gt;=$B$5+$B$4,$A40&lt;=INT($B$8)-1+$B$4),LOOKUP($A40,Retraite!$A$7:$A$47,Retraite!$Q$7:Q$47)/LOOKUP($A40,Barèmes!$A$65:$A$148,Barèmes!$C$65:$C$148),IF($A40=INT($B$8+$B$4),(LOOKUP($A40,Retraite!$A$7:$A$47,Retraite!$Q$7:$Q$47)/LOOKUP($A40,Barèmes!$A$65:$A$148,Barèmes!$C$65:$C$148))*(1-(INT($B$8)+1-$B$8)),0)))</f>
        <v>-4835.3423409551606</v>
      </c>
      <c r="J40" s="115"/>
    </row>
    <row r="41" spans="1:10" s="43" customFormat="1" ht="15.75" customHeight="1" x14ac:dyDescent="0.25">
      <c r="A41" s="125">
        <f t="shared" si="0"/>
        <v>2046</v>
      </c>
      <c r="B41" s="131">
        <f>IF($A41&lt;$B$5+$B$4,-LOOKUP($A41,Cot_droits!$A$17:$A$68,Cot_droits!$Q$17:$Q$68)/LOOKUP($A41,Barèmes!$A$65:$A$148,Barèmes!$C$65:$C$148),IF(AND($A41&gt;=$B$5+$B$4,$A41&lt;=INT($B$8)+$B$4-1),LOOKUP($A41,Retraite!$A$7:$A$47,Retraite!$K$7:$K$47)/LOOKUP($A41,Barèmes!$A$65:$A$148,Barèmes!$C$65:$C$148),IF($A41=INT($B$8+$B$4),(LOOKUP($A41,Retraite!$A$7:$A$47,Retraite!$K$7:$K$47)/LOOKUP($A41,Barèmes!$A$65:$A$148,Barèmes!$C$65:$C$148))*(1-(INT($B$8+1)-$B$8)),0)))</f>
        <v>-13620.402487843179</v>
      </c>
      <c r="C41" s="121">
        <f>IF($A41&lt;$B$5+$B$4,-LOOKUP($A41,Cot_droits!$A$17:$A$68,Cot_droits!$Q$17:$Q$68)/LOOKUP($A41,Barèmes!$A$65:$A$148,Barèmes!$C$65:$C$148),IF(AND($A41&gt;=$B$5+$B$4,$A41&lt;=INT($B$8)-1+$B$4),LOOKUP($A41,Retraite!$A$7:$A$47,Retraite!N$7:$N$47)/LOOKUP($A41,Barèmes!$A$65:$A$148,Barèmes!$C$65:$C$148),IF($A41=INT($B$8+$B$4),(LOOKUP($A41,Retraite!$A$7:$A$47,Retraite!$N$7:$N$47)/LOOKUP($A41,Barèmes!$A$65:$A$148,Barèmes!$C$65:$C$148))*(1-(INT($B$8)+1-$B$8)),0)))</f>
        <v>-13620.402487843179</v>
      </c>
      <c r="D41" s="115"/>
      <c r="E41" s="131">
        <f>IF($A41&lt;$B$5+$B$4,-(LOOKUP($A41,Cot_droits!$A$17:$A$68,Cot_droits!$H$17:$H$68)+LOOKUP($A41,Cot_droits!$A$17:$A$68,Cot_droits!$L$17:$L$68))/LOOKUP($A41,Barèmes!$A$65:$A$148,Barèmes!$C$65:$C$148),IF(AND($A41&gt;=$B$5+$B$4,$A41&lt;=INT($B$8)-1+$B$4),LOOKUP($A41,Retraite!$A$7:$A$47,Retraite!$L$7:$L$47)/LOOKUP($A41,Barèmes!$A$65:$A$148,Barèmes!$C$65:$C$148),IF($A41=INT($B$8+$B$4),(LOOKUP($A41,Retraite!$A$7:$A$47,Retraite!$L$7:$L$47)/LOOKUP($A41,Barèmes!$A$65:$A$148,Barèmes!$C$65:$C$148))*(1-(INT($B$8)+1-$B$8)),0)))</f>
        <v>-8704.6210181902643</v>
      </c>
      <c r="F41" s="121">
        <f>IF($A41&lt;$B$5+$B$4,-(LOOKUP($A41,Cot_droits!$A$17:$A$68,Cot_droits!$H$17:$H$68)+LOOKUP($A41,Cot_droits!$A$17:$A$68,Cot_droits!$L$17:$L$68))/LOOKUP($A41,Barèmes!$A$65:$A$148,Barèmes!$C$65:$C$148),IF(AND($A41&gt;=$B$5+$B$4,$A41&lt;=INT($B$8)-1+$B$4),LOOKUP($A41,Retraite!$A$7:$A$47,Retraite!$P$7:P$47)/LOOKUP($A41,Barèmes!$A$65:$A$148,Barèmes!$C$65:$C$148),IF($A41=INT($B$8+$B$4),(LOOKUP($A41,Retraite!$A$7:$A$47,Retraite!$P$7:$P$47)/LOOKUP($A41,Barèmes!$A$65:$A$148,Barèmes!$C$65:$C$148))*(1-(INT($B$8)+1-$B$8)),0)))</f>
        <v>-8704.6210181902643</v>
      </c>
      <c r="H41" s="131">
        <f>IF($A41&lt;$B$5+$B$4,-(LOOKUP($A41,Cot_droits!$A$17:$A$68,Cot_droits!$I$17:$I$68)+LOOKUP($A41,Cot_droits!$A$17:$A$68,Cot_droits!$J$17:$J$68)+LOOKUP($A41,Cot_droits!$A$17:$A$68,Cot_droits!$N$17:$N$68))/LOOKUP($A41,Barèmes!$A$65:$A$148,Barèmes!$C$65:$C$148),IF(AND($A41&gt;=$B$5+$B$4,$A41&lt;=INT($B$8)-1+$B$4),LOOKUP($A41,Retraite!$A$7:$A$47,Retraite!$M$7:$M$47)/LOOKUP($A41,Barèmes!$A$65:$A$148,Barèmes!$C$65:$C$148),IF($A41=INT($B$8+$B$4),(LOOKUP($A41,Retraite!$A$7:$A$47,Retraite!$M$7:$M$47)/LOOKUP($A41,Barèmes!$A$65:$A$148,Barèmes!$C$65:$C$148))*(1-(INT($B$8)+1-$B$8)),0)))</f>
        <v>-4915.7814696529131</v>
      </c>
      <c r="I41" s="121">
        <f>IF($A41&lt;$B$5+$B$4,-(LOOKUP($A41,Cot_droits!$A$17:$A$68,Cot_droits!$I$17:$I$68)+LOOKUP($A41,Cot_droits!$A$17:$A$68,Cot_droits!$J$17:$J$68)+LOOKUP($A41,Cot_droits!$A$17:$A$68,Cot_droits!$N$17:$N$68))/LOOKUP($A41,Barèmes!$A$65:$A$148,Barèmes!$C$65:$C$148),IF(AND($A41&gt;=$B$5+$B$4,$A41&lt;=INT($B$8)-1+$B$4),LOOKUP($A41,Retraite!$A$7:$A$47,Retraite!$Q$7:Q$47)/LOOKUP($A41,Barèmes!$A$65:$A$148,Barèmes!$C$65:$C$148),IF($A41=INT($B$8+$B$4),(LOOKUP($A41,Retraite!$A$7:$A$47,Retraite!$Q$7:$Q$47)/LOOKUP($A41,Barèmes!$A$65:$A$148,Barèmes!$C$65:$C$148))*(1-(INT($B$8)+1-$B$8)),0)))</f>
        <v>-4915.7814696529131</v>
      </c>
      <c r="J41" s="115"/>
    </row>
    <row r="42" spans="1:10" s="43" customFormat="1" ht="15.75" customHeight="1" x14ac:dyDescent="0.25">
      <c r="A42" s="125">
        <f t="shared" si="0"/>
        <v>2047</v>
      </c>
      <c r="B42" s="131">
        <f>IF($A42&lt;$B$5+$B$4,-LOOKUP($A42,Cot_droits!$A$17:$A$68,Cot_droits!$Q$17:$Q$68)/LOOKUP($A42,Barèmes!$A$65:$A$148,Barèmes!$C$65:$C$148),IF(AND($A42&gt;=$B$5+$B$4,$A42&lt;=INT($B$8)+$B$4-1),LOOKUP($A42,Retraite!$A$7:$A$47,Retraite!$K$7:$K$47)/LOOKUP($A42,Barèmes!$A$65:$A$148,Barèmes!$C$65:$C$148),IF($A42=INT($B$8+$B$4),(LOOKUP($A42,Retraite!$A$7:$A$47,Retraite!$K$7:$K$47)/LOOKUP($A42,Barèmes!$A$65:$A$148,Barèmes!$C$65:$C$148))*(1-(INT($B$8+1)-$B$8)),0)))</f>
        <v>-13863.260183315524</v>
      </c>
      <c r="C42" s="121">
        <f>IF($A42&lt;$B$5+$B$4,-LOOKUP($A42,Cot_droits!$A$17:$A$68,Cot_droits!$Q$17:$Q$68)/LOOKUP($A42,Barèmes!$A$65:$A$148,Barèmes!$C$65:$C$148),IF(AND($A42&gt;=$B$5+$B$4,$A42&lt;=INT($B$8)-1+$B$4),LOOKUP($A42,Retraite!$A$7:$A$47,Retraite!N$7:$N$47)/LOOKUP($A42,Barèmes!$A$65:$A$148,Barèmes!$C$65:$C$148),IF($A42=INT($B$8+$B$4),(LOOKUP($A42,Retraite!$A$7:$A$47,Retraite!$N$7:$N$47)/LOOKUP($A42,Barèmes!$A$65:$A$148,Barèmes!$C$65:$C$148))*(1-(INT($B$8)+1-$B$8)),0)))</f>
        <v>-13863.260183315524</v>
      </c>
      <c r="D42" s="115"/>
      <c r="E42" s="131">
        <f>IF($A42&lt;$B$5+$B$4,-(LOOKUP($A42,Cot_droits!$A$17:$A$68,Cot_droits!$H$17:$H$68)+LOOKUP($A42,Cot_droits!$A$17:$A$68,Cot_droits!$L$17:$L$68))/LOOKUP($A42,Barèmes!$A$65:$A$148,Barèmes!$C$65:$C$148),IF(AND($A42&gt;=$B$5+$B$4,$A42&lt;=INT($B$8)-1+$B$4),LOOKUP($A42,Retraite!$A$7:$A$47,Retraite!$L$7:$L$47)/LOOKUP($A42,Barèmes!$A$65:$A$148,Barèmes!$C$65:$C$148),IF($A42=INT($B$8+$B$4),(LOOKUP($A42,Retraite!$A$7:$A$47,Retraite!$L$7:$L$47)/LOOKUP($A42,Barèmes!$A$65:$A$148,Barèmes!$C$65:$C$148))*(1-(INT($B$8)+1-$B$8)),0)))</f>
        <v>-8859.8281937729716</v>
      </c>
      <c r="F42" s="121">
        <f>IF($A42&lt;$B$5+$B$4,-(LOOKUP($A42,Cot_droits!$A$17:$A$68,Cot_droits!$H$17:$H$68)+LOOKUP($A42,Cot_droits!$A$17:$A$68,Cot_droits!$L$17:$L$68))/LOOKUP($A42,Barèmes!$A$65:$A$148,Barèmes!$C$65:$C$148),IF(AND($A42&gt;=$B$5+$B$4,$A42&lt;=INT($B$8)-1+$B$4),LOOKUP($A42,Retraite!$A$7:$A$47,Retraite!$P$7:P$47)/LOOKUP($A42,Barèmes!$A$65:$A$148,Barèmes!$C$65:$C$148),IF($A42=INT($B$8+$B$4),(LOOKUP($A42,Retraite!$A$7:$A$47,Retraite!$P$7:$P$47)/LOOKUP($A42,Barèmes!$A$65:$A$148,Barèmes!$C$65:$C$148))*(1-(INT($B$8)+1-$B$8)),0)))</f>
        <v>-8859.8281937729716</v>
      </c>
      <c r="H42" s="131">
        <f>IF($A42&lt;$B$5+$B$4,-(LOOKUP($A42,Cot_droits!$A$17:$A$68,Cot_droits!$I$17:$I$68)+LOOKUP($A42,Cot_droits!$A$17:$A$68,Cot_droits!$J$17:$J$68)+LOOKUP($A42,Cot_droits!$A$17:$A$68,Cot_droits!$N$17:$N$68))/LOOKUP($A42,Barèmes!$A$65:$A$148,Barèmes!$C$65:$C$148),IF(AND($A42&gt;=$B$5+$B$4,$A42&lt;=INT($B$8)-1+$B$4),LOOKUP($A42,Retraite!$A$7:$A$47,Retraite!$M$7:$M$47)/LOOKUP($A42,Barèmes!$A$65:$A$148,Barèmes!$C$65:$C$148),IF($A42=INT($B$8+$B$4),(LOOKUP($A42,Retraite!$A$7:$A$47,Retraite!$M$7:$M$47)/LOOKUP($A42,Barèmes!$A$65:$A$148,Barèmes!$C$65:$C$148))*(1-(INT($B$8)+1-$B$8)),0)))</f>
        <v>-5003.4319895425515</v>
      </c>
      <c r="I42" s="121">
        <f>IF($A42&lt;$B$5+$B$4,-(LOOKUP($A42,Cot_droits!$A$17:$A$68,Cot_droits!$I$17:$I$68)+LOOKUP($A42,Cot_droits!$A$17:$A$68,Cot_droits!$J$17:$J$68)+LOOKUP($A42,Cot_droits!$A$17:$A$68,Cot_droits!$N$17:$N$68))/LOOKUP($A42,Barèmes!$A$65:$A$148,Barèmes!$C$65:$C$148),IF(AND($A42&gt;=$B$5+$B$4,$A42&lt;=INT($B$8)-1+$B$4),LOOKUP($A42,Retraite!$A$7:$A$47,Retraite!$Q$7:Q$47)/LOOKUP($A42,Barèmes!$A$65:$A$148,Barèmes!$C$65:$C$148),IF($A42=INT($B$8+$B$4),(LOOKUP($A42,Retraite!$A$7:$A$47,Retraite!$Q$7:$Q$47)/LOOKUP($A42,Barèmes!$A$65:$A$148,Barèmes!$C$65:$C$148))*(1-(INT($B$8)+1-$B$8)),0)))</f>
        <v>-5003.4319895425515</v>
      </c>
      <c r="J42" s="115"/>
    </row>
    <row r="43" spans="1:10" s="43" customFormat="1" ht="15.75" customHeight="1" x14ac:dyDescent="0.25">
      <c r="A43" s="125">
        <f t="shared" si="0"/>
        <v>2048</v>
      </c>
      <c r="B43" s="131">
        <f>IF($A43&lt;$B$5+$B$4,-LOOKUP($A43,Cot_droits!$A$17:$A$68,Cot_droits!$Q$17:$Q$68)/LOOKUP($A43,Barèmes!$A$65:$A$148,Barèmes!$C$65:$C$148),IF(AND($A43&gt;=$B$5+$B$4,$A43&lt;=INT($B$8)+$B$4-1),LOOKUP($A43,Retraite!$A$7:$A$47,Retraite!$K$7:$K$47)/LOOKUP($A43,Barèmes!$A$65:$A$148,Barèmes!$C$65:$C$148),IF($A43=INT($B$8+$B$4),(LOOKUP($A43,Retraite!$A$7:$A$47,Retraite!$K$7:$K$47)/LOOKUP($A43,Barèmes!$A$65:$A$148,Barèmes!$C$65:$C$148))*(1-(INT($B$8+1)-$B$8)),0)))</f>
        <v>-14284.014410135065</v>
      </c>
      <c r="C43" s="121">
        <f>IF($A43&lt;$B$5+$B$4,-LOOKUP($A43,Cot_droits!$A$17:$A$68,Cot_droits!$Q$17:$Q$68)/LOOKUP($A43,Barèmes!$A$65:$A$148,Barèmes!$C$65:$C$148),IF(AND($A43&gt;=$B$5+$B$4,$A43&lt;=INT($B$8)-1+$B$4),LOOKUP($A43,Retraite!$A$7:$A$47,Retraite!N$7:$N$47)/LOOKUP($A43,Barèmes!$A$65:$A$148,Barèmes!$C$65:$C$148),IF($A43=INT($B$8+$B$4),(LOOKUP($A43,Retraite!$A$7:$A$47,Retraite!$N$7:$N$47)/LOOKUP($A43,Barèmes!$A$65:$A$148,Barèmes!$C$65:$C$148))*(1-(INT($B$8)+1-$B$8)),0)))</f>
        <v>-14284.014410135065</v>
      </c>
      <c r="D43" s="115"/>
      <c r="E43" s="131">
        <f>IF($A43&lt;$B$5+$B$4,-(LOOKUP($A43,Cot_droits!$A$17:$A$68,Cot_droits!$H$17:$H$68)+LOOKUP($A43,Cot_droits!$A$17:$A$68,Cot_droits!$L$17:$L$68))/LOOKUP($A43,Barèmes!$A$65:$A$148,Barèmes!$C$65:$C$148),IF(AND($A43&gt;=$B$5+$B$4,$A43&lt;=INT($B$8)-1+$B$4),LOOKUP($A43,Retraite!$A$7:$A$47,Retraite!$L$7:$L$47)/LOOKUP($A43,Barèmes!$A$65:$A$148,Barèmes!$C$65:$C$148),IF($A43=INT($B$8+$B$4),(LOOKUP($A43,Retraite!$A$7:$A$47,Retraite!$L$7:$L$47)/LOOKUP($A43,Barèmes!$A$65:$A$148,Barèmes!$C$65:$C$148))*(1-(INT($B$8)+1-$B$8)),0)))</f>
        <v>-9128.7267149095333</v>
      </c>
      <c r="F43" s="121">
        <f>IF($A43&lt;$B$5+$B$4,-(LOOKUP($A43,Cot_droits!$A$17:$A$68,Cot_droits!$H$17:$H$68)+LOOKUP($A43,Cot_droits!$A$17:$A$68,Cot_droits!$L$17:$L$68))/LOOKUP($A43,Barèmes!$A$65:$A$148,Barèmes!$C$65:$C$148),IF(AND($A43&gt;=$B$5+$B$4,$A43&lt;=INT($B$8)-1+$B$4),LOOKUP($A43,Retraite!$A$7:$A$47,Retraite!$P$7:P$47)/LOOKUP($A43,Barèmes!$A$65:$A$148,Barèmes!$C$65:$C$148),IF($A43=INT($B$8+$B$4),(LOOKUP($A43,Retraite!$A$7:$A$47,Retraite!$P$7:$P$47)/LOOKUP($A43,Barèmes!$A$65:$A$148,Barèmes!$C$65:$C$148))*(1-(INT($B$8)+1-$B$8)),0)))</f>
        <v>-9128.7267149095333</v>
      </c>
      <c r="H43" s="131">
        <f>IF($A43&lt;$B$5+$B$4,-(LOOKUP($A43,Cot_droits!$A$17:$A$68,Cot_droits!$I$17:$I$68)+LOOKUP($A43,Cot_droits!$A$17:$A$68,Cot_droits!$J$17:$J$68)+LOOKUP($A43,Cot_droits!$A$17:$A$68,Cot_droits!$N$17:$N$68))/LOOKUP($A43,Barèmes!$A$65:$A$148,Barèmes!$C$65:$C$148),IF(AND($A43&gt;=$B$5+$B$4,$A43&lt;=INT($B$8)-1+$B$4),LOOKUP($A43,Retraite!$A$7:$A$47,Retraite!$M$7:$M$47)/LOOKUP($A43,Barèmes!$A$65:$A$148,Barèmes!$C$65:$C$148),IF($A43=INT($B$8+$B$4),(LOOKUP($A43,Retraite!$A$7:$A$47,Retraite!$M$7:$M$47)/LOOKUP($A43,Barèmes!$A$65:$A$148,Barèmes!$C$65:$C$148))*(1-(INT($B$8)+1-$B$8)),0)))</f>
        <v>-5155.287695225531</v>
      </c>
      <c r="I43" s="121">
        <f>IF($A43&lt;$B$5+$B$4,-(LOOKUP($A43,Cot_droits!$A$17:$A$68,Cot_droits!$I$17:$I$68)+LOOKUP($A43,Cot_droits!$A$17:$A$68,Cot_droits!$J$17:$J$68)+LOOKUP($A43,Cot_droits!$A$17:$A$68,Cot_droits!$N$17:$N$68))/LOOKUP($A43,Barèmes!$A$65:$A$148,Barèmes!$C$65:$C$148),IF(AND($A43&gt;=$B$5+$B$4,$A43&lt;=INT($B$8)-1+$B$4),LOOKUP($A43,Retraite!$A$7:$A$47,Retraite!$Q$7:Q$47)/LOOKUP($A43,Barèmes!$A$65:$A$148,Barèmes!$C$65:$C$148),IF($A43=INT($B$8+$B$4),(LOOKUP($A43,Retraite!$A$7:$A$47,Retraite!$Q$7:$Q$47)/LOOKUP($A43,Barèmes!$A$65:$A$148,Barèmes!$C$65:$C$148))*(1-(INT($B$8)+1-$B$8)),0)))</f>
        <v>-5155.287695225531</v>
      </c>
      <c r="J43" s="115"/>
    </row>
    <row r="44" spans="1:10" s="43" customFormat="1" ht="15.75" customHeight="1" x14ac:dyDescent="0.25">
      <c r="A44" s="125">
        <f t="shared" si="0"/>
        <v>2049</v>
      </c>
      <c r="B44" s="131">
        <f>IF($A44&lt;$B$5+$B$4,-LOOKUP($A44,Cot_droits!$A$17:$A$68,Cot_droits!$Q$17:$Q$68)/LOOKUP($A44,Barèmes!$A$65:$A$148,Barèmes!$C$65:$C$148),IF(AND($A44&gt;=$B$5+$B$4,$A44&lt;=INT($B$8)+$B$4-1),LOOKUP($A44,Retraite!$A$7:$A$47,Retraite!$K$7:$K$47)/LOOKUP($A44,Barèmes!$A$65:$A$148,Barèmes!$C$65:$C$148),IF($A44=INT($B$8+$B$4),(LOOKUP($A44,Retraite!$A$7:$A$47,Retraite!$K$7:$K$47)/LOOKUP($A44,Barèmes!$A$65:$A$148,Barèmes!$C$65:$C$148))*(1-(INT($B$8+1)-$B$8)),0)))</f>
        <v>-14417.370390498583</v>
      </c>
      <c r="C44" s="121">
        <f>IF($A44&lt;$B$5+$B$4,-LOOKUP($A44,Cot_droits!$A$17:$A$68,Cot_droits!$Q$17:$Q$68)/LOOKUP($A44,Barèmes!$A$65:$A$148,Barèmes!$C$65:$C$148),IF(AND($A44&gt;=$B$5+$B$4,$A44&lt;=INT($B$8)-1+$B$4),LOOKUP($A44,Retraite!$A$7:$A$47,Retraite!N$7:$N$47)/LOOKUP($A44,Barèmes!$A$65:$A$148,Barèmes!$C$65:$C$148),IF($A44=INT($B$8+$B$4),(LOOKUP($A44,Retraite!$A$7:$A$47,Retraite!$N$7:$N$47)/LOOKUP($A44,Barèmes!$A$65:$A$148,Barèmes!$C$65:$C$148))*(1-(INT($B$8)+1-$B$8)),0)))</f>
        <v>-14417.370390498583</v>
      </c>
      <c r="D44" s="115"/>
      <c r="E44" s="131">
        <f>IF($A44&lt;$B$5+$B$4,-(LOOKUP($A44,Cot_droits!$A$17:$A$68,Cot_droits!$H$17:$H$68)+LOOKUP($A44,Cot_droits!$A$17:$A$68,Cot_droits!$L$17:$L$68))/LOOKUP($A44,Barèmes!$A$65:$A$148,Barèmes!$C$65:$C$148),IF(AND($A44&gt;=$B$5+$B$4,$A44&lt;=INT($B$8)-1+$B$4),LOOKUP($A44,Retraite!$A$7:$A$47,Retraite!$L$7:$L$47)/LOOKUP($A44,Barèmes!$A$65:$A$148,Barèmes!$C$65:$C$148),IF($A44=INT($B$8+$B$4),(LOOKUP($A44,Retraite!$A$7:$A$47,Retraite!$L$7:$L$47)/LOOKUP($A44,Barèmes!$A$65:$A$148,Barèmes!$C$65:$C$148))*(1-(INT($B$8)+1-$B$8)),0)))</f>
        <v>-9213.9527771062803</v>
      </c>
      <c r="F44" s="121">
        <f>IF($A44&lt;$B$5+$B$4,-(LOOKUP($A44,Cot_droits!$A$17:$A$68,Cot_droits!$H$17:$H$68)+LOOKUP($A44,Cot_droits!$A$17:$A$68,Cot_droits!$L$17:$L$68))/LOOKUP($A44,Barèmes!$A$65:$A$148,Barèmes!$C$65:$C$148),IF(AND($A44&gt;=$B$5+$B$4,$A44&lt;=INT($B$8)-1+$B$4),LOOKUP($A44,Retraite!$A$7:$A$47,Retraite!$P$7:P$47)/LOOKUP($A44,Barèmes!$A$65:$A$148,Barèmes!$C$65:$C$148),IF($A44=INT($B$8+$B$4),(LOOKUP($A44,Retraite!$A$7:$A$47,Retraite!$P$7:$P$47)/LOOKUP($A44,Barèmes!$A$65:$A$148,Barèmes!$C$65:$C$148))*(1-(INT($B$8)+1-$B$8)),0)))</f>
        <v>-9213.9527771062803</v>
      </c>
      <c r="H44" s="131">
        <f>IF($A44&lt;$B$5+$B$4,-(LOOKUP($A44,Cot_droits!$A$17:$A$68,Cot_droits!$I$17:$I$68)+LOOKUP($A44,Cot_droits!$A$17:$A$68,Cot_droits!$J$17:$J$68)+LOOKUP($A44,Cot_droits!$A$17:$A$68,Cot_droits!$N$17:$N$68))/LOOKUP($A44,Barèmes!$A$65:$A$148,Barèmes!$C$65:$C$148),IF(AND($A44&gt;=$B$5+$B$4,$A44&lt;=INT($B$8)-1+$B$4),LOOKUP($A44,Retraite!$A$7:$A$47,Retraite!$M$7:$M$47)/LOOKUP($A44,Barèmes!$A$65:$A$148,Barèmes!$C$65:$C$148),IF($A44=INT($B$8+$B$4),(LOOKUP($A44,Retraite!$A$7:$A$47,Retraite!$M$7:$M$47)/LOOKUP($A44,Barèmes!$A$65:$A$148,Barèmes!$C$65:$C$148))*(1-(INT($B$8)+1-$B$8)),0)))</f>
        <v>-5203.4176133923029</v>
      </c>
      <c r="I44" s="121">
        <f>IF($A44&lt;$B$5+$B$4,-(LOOKUP($A44,Cot_droits!$A$17:$A$68,Cot_droits!$I$17:$I$68)+LOOKUP($A44,Cot_droits!$A$17:$A$68,Cot_droits!$J$17:$J$68)+LOOKUP($A44,Cot_droits!$A$17:$A$68,Cot_droits!$N$17:$N$68))/LOOKUP($A44,Barèmes!$A$65:$A$148,Barèmes!$C$65:$C$148),IF(AND($A44&gt;=$B$5+$B$4,$A44&lt;=INT($B$8)-1+$B$4),LOOKUP($A44,Retraite!$A$7:$A$47,Retraite!$Q$7:Q$47)/LOOKUP($A44,Barèmes!$A$65:$A$148,Barèmes!$C$65:$C$148),IF($A44=INT($B$8+$B$4),(LOOKUP($A44,Retraite!$A$7:$A$47,Retraite!$Q$7:$Q$47)/LOOKUP($A44,Barèmes!$A$65:$A$148,Barèmes!$C$65:$C$148))*(1-(INT($B$8)+1-$B$8)),0)))</f>
        <v>-5203.4176133923029</v>
      </c>
      <c r="J44" s="115"/>
    </row>
    <row r="45" spans="1:10" s="43" customFormat="1" ht="15.75" customHeight="1" x14ac:dyDescent="0.25">
      <c r="A45" s="125">
        <f t="shared" si="0"/>
        <v>2050</v>
      </c>
      <c r="B45" s="131">
        <f>IF($A45&lt;$B$5+$B$4,-LOOKUP($A45,Cot_droits!$A$17:$A$68,Cot_droits!$Q$17:$Q$68)/LOOKUP($A45,Barèmes!$A$65:$A$148,Barèmes!$C$65:$C$148),IF(AND($A45&gt;=$B$5+$B$4,$A45&lt;=INT($B$8)+$B$4-1),LOOKUP($A45,Retraite!$A$7:$A$47,Retraite!$K$7:$K$47)/LOOKUP($A45,Barèmes!$A$65:$A$148,Barèmes!$C$65:$C$148),IF($A45=INT($B$8+$B$4),(LOOKUP($A45,Retraite!$A$7:$A$47,Retraite!$K$7:$K$47)/LOOKUP($A45,Barèmes!$A$65:$A$148,Barèmes!$C$65:$C$148))*(1-(INT($B$8+1)-$B$8)),0)))</f>
        <v>-14564.80346755382</v>
      </c>
      <c r="C45" s="121">
        <f>IF($A45&lt;$B$5+$B$4,-LOOKUP($A45,Cot_droits!$A$17:$A$68,Cot_droits!$Q$17:$Q$68)/LOOKUP($A45,Barèmes!$A$65:$A$148,Barèmes!$C$65:$C$148),IF(AND($A45&gt;=$B$5+$B$4,$A45&lt;=INT($B$8)-1+$B$4),LOOKUP($A45,Retraite!$A$7:$A$47,Retraite!N$7:$N$47)/LOOKUP($A45,Barèmes!$A$65:$A$148,Barèmes!$C$65:$C$148),IF($A45=INT($B$8+$B$4),(LOOKUP($A45,Retraite!$A$7:$A$47,Retraite!$N$7:$N$47)/LOOKUP($A45,Barèmes!$A$65:$A$148,Barèmes!$C$65:$C$148))*(1-(INT($B$8)+1-$B$8)),0)))</f>
        <v>-14564.80346755382</v>
      </c>
      <c r="D45" s="115"/>
      <c r="E45" s="131">
        <f>IF($A45&lt;$B$5+$B$4,-(LOOKUP($A45,Cot_droits!$A$17:$A$68,Cot_droits!$H$17:$H$68)+LOOKUP($A45,Cot_droits!$A$17:$A$68,Cot_droits!$L$17:$L$68))/LOOKUP($A45,Barèmes!$A$65:$A$148,Barèmes!$C$65:$C$148),IF(AND($A45&gt;=$B$5+$B$4,$A45&lt;=INT($B$8)-1+$B$4),LOOKUP($A45,Retraite!$A$7:$A$47,Retraite!$L$7:$L$47)/LOOKUP($A45,Barèmes!$A$65:$A$148,Barèmes!$C$65:$C$148),IF($A45=INT($B$8+$B$4),(LOOKUP($A45,Retraite!$A$7:$A$47,Retraite!$L$7:$L$47)/LOOKUP($A45,Barèmes!$A$65:$A$148,Barèmes!$C$65:$C$148))*(1-(INT($B$8)+1-$B$8)),0)))</f>
        <v>-9308.175327611445</v>
      </c>
      <c r="F45" s="121">
        <f>IF($A45&lt;$B$5+$B$4,-(LOOKUP($A45,Cot_droits!$A$17:$A$68,Cot_droits!$H$17:$H$68)+LOOKUP($A45,Cot_droits!$A$17:$A$68,Cot_droits!$L$17:$L$68))/LOOKUP($A45,Barèmes!$A$65:$A$148,Barèmes!$C$65:$C$148),IF(AND($A45&gt;=$B$5+$B$4,$A45&lt;=INT($B$8)-1+$B$4),LOOKUP($A45,Retraite!$A$7:$A$47,Retraite!$P$7:P$47)/LOOKUP($A45,Barèmes!$A$65:$A$148,Barèmes!$C$65:$C$148),IF($A45=INT($B$8+$B$4),(LOOKUP($A45,Retraite!$A$7:$A$47,Retraite!$P$7:$P$47)/LOOKUP($A45,Barèmes!$A$65:$A$148,Barèmes!$C$65:$C$148))*(1-(INT($B$8)+1-$B$8)),0)))</f>
        <v>-9308.175327611445</v>
      </c>
      <c r="H45" s="131">
        <f>IF($A45&lt;$B$5+$B$4,-(LOOKUP($A45,Cot_droits!$A$17:$A$68,Cot_droits!$I$17:$I$68)+LOOKUP($A45,Cot_droits!$A$17:$A$68,Cot_droits!$J$17:$J$68)+LOOKUP($A45,Cot_droits!$A$17:$A$68,Cot_droits!$N$17:$N$68))/LOOKUP($A45,Barèmes!$A$65:$A$148,Barèmes!$C$65:$C$148),IF(AND($A45&gt;=$B$5+$B$4,$A45&lt;=INT($B$8)-1+$B$4),LOOKUP($A45,Retraite!$A$7:$A$47,Retraite!$M$7:$M$47)/LOOKUP($A45,Barèmes!$A$65:$A$148,Barèmes!$C$65:$C$148),IF($A45=INT($B$8+$B$4),(LOOKUP($A45,Retraite!$A$7:$A$47,Retraite!$M$7:$M$47)/LOOKUP($A45,Barèmes!$A$65:$A$148,Barèmes!$C$65:$C$148))*(1-(INT($B$8)+1-$B$8)),0)))</f>
        <v>-5256.6281399423751</v>
      </c>
      <c r="I45" s="121">
        <f>IF($A45&lt;$B$5+$B$4,-(LOOKUP($A45,Cot_droits!$A$17:$A$68,Cot_droits!$I$17:$I$68)+LOOKUP($A45,Cot_droits!$A$17:$A$68,Cot_droits!$J$17:$J$68)+LOOKUP($A45,Cot_droits!$A$17:$A$68,Cot_droits!$N$17:$N$68))/LOOKUP($A45,Barèmes!$A$65:$A$148,Barèmes!$C$65:$C$148),IF(AND($A45&gt;=$B$5+$B$4,$A45&lt;=INT($B$8)-1+$B$4),LOOKUP($A45,Retraite!$A$7:$A$47,Retraite!$Q$7:Q$47)/LOOKUP($A45,Barèmes!$A$65:$A$148,Barèmes!$C$65:$C$148),IF($A45=INT($B$8+$B$4),(LOOKUP($A45,Retraite!$A$7:$A$47,Retraite!$Q$7:$Q$47)/LOOKUP($A45,Barèmes!$A$65:$A$148,Barèmes!$C$65:$C$148))*(1-(INT($B$8)+1-$B$8)),0)))</f>
        <v>-5256.6281399423751</v>
      </c>
      <c r="J45" s="115"/>
    </row>
    <row r="46" spans="1:10" s="43" customFormat="1" ht="15.75" customHeight="1" x14ac:dyDescent="0.25">
      <c r="A46" s="125">
        <f t="shared" si="0"/>
        <v>2051</v>
      </c>
      <c r="B46" s="131">
        <f>IF($A46&lt;$B$5+$B$4,-LOOKUP($A46,Cot_droits!$A$17:$A$68,Cot_droits!$Q$17:$Q$68)/LOOKUP($A46,Barèmes!$A$65:$A$148,Barèmes!$C$65:$C$148),IF(AND($A46&gt;=$B$5+$B$4,$A46&lt;=INT($B$8)+$B$4-1),LOOKUP($A46,Retraite!$A$7:$A$47,Retraite!$K$7:$K$47)/LOOKUP($A46,Barèmes!$A$65:$A$148,Barèmes!$C$65:$C$148),IF($A46=INT($B$8+$B$4),(LOOKUP($A46,Retraite!$A$7:$A$47,Retraite!$K$7:$K$47)/LOOKUP($A46,Barèmes!$A$65:$A$148,Barèmes!$C$65:$C$148))*(1-(INT($B$8+1)-$B$8)),0)))</f>
        <v>-14762.122039764779</v>
      </c>
      <c r="C46" s="121">
        <f>IF($A46&lt;$B$5+$B$4,-LOOKUP($A46,Cot_droits!$A$17:$A$68,Cot_droits!$Q$17:$Q$68)/LOOKUP($A46,Barèmes!$A$65:$A$148,Barèmes!$C$65:$C$148),IF(AND($A46&gt;=$B$5+$B$4,$A46&lt;=INT($B$8)-1+$B$4),LOOKUP($A46,Retraite!$A$7:$A$47,Retraite!N$7:$N$47)/LOOKUP($A46,Barèmes!$A$65:$A$148,Barèmes!$C$65:$C$148),IF($A46=INT($B$8+$B$4),(LOOKUP($A46,Retraite!$A$7:$A$47,Retraite!$N$7:$N$47)/LOOKUP($A46,Barèmes!$A$65:$A$148,Barèmes!$C$65:$C$148))*(1-(INT($B$8)+1-$B$8)),0)))</f>
        <v>-14762.122039764779</v>
      </c>
      <c r="D46" s="115"/>
      <c r="E46" s="131">
        <f>IF($A46&lt;$B$5+$B$4,-(LOOKUP($A46,Cot_droits!$A$17:$A$68,Cot_droits!$H$17:$H$68)+LOOKUP($A46,Cot_droits!$A$17:$A$68,Cot_droits!$L$17:$L$68))/LOOKUP($A46,Barèmes!$A$65:$A$148,Barèmes!$C$65:$C$148),IF(AND($A46&gt;=$B$5+$B$4,$A46&lt;=INT($B$8)-1+$B$4),LOOKUP($A46,Retraite!$A$7:$A$47,Retraite!$L$7:$L$47)/LOOKUP($A46,Barèmes!$A$65:$A$148,Barèmes!$C$65:$C$148),IF($A46=INT($B$8+$B$4),(LOOKUP($A46,Retraite!$A$7:$A$47,Retraite!$L$7:$L$47)/LOOKUP($A46,Barèmes!$A$65:$A$148,Barèmes!$C$65:$C$148))*(1-(INT($B$8)+1-$B$8)),0)))</f>
        <v>-9434.2790453598627</v>
      </c>
      <c r="F46" s="121">
        <f>IF($A46&lt;$B$5+$B$4,-(LOOKUP($A46,Cot_droits!$A$17:$A$68,Cot_droits!$H$17:$H$68)+LOOKUP($A46,Cot_droits!$A$17:$A$68,Cot_droits!$L$17:$L$68))/LOOKUP($A46,Barèmes!$A$65:$A$148,Barèmes!$C$65:$C$148),IF(AND($A46&gt;=$B$5+$B$4,$A46&lt;=INT($B$8)-1+$B$4),LOOKUP($A46,Retraite!$A$7:$A$47,Retraite!$P$7:P$47)/LOOKUP($A46,Barèmes!$A$65:$A$148,Barèmes!$C$65:$C$148),IF($A46=INT($B$8+$B$4),(LOOKUP($A46,Retraite!$A$7:$A$47,Retraite!$P$7:$P$47)/LOOKUP($A46,Barèmes!$A$65:$A$148,Barèmes!$C$65:$C$148))*(1-(INT($B$8)+1-$B$8)),0)))</f>
        <v>-9434.2790453598627</v>
      </c>
      <c r="H46" s="131">
        <f>IF($A46&lt;$B$5+$B$4,-(LOOKUP($A46,Cot_droits!$A$17:$A$68,Cot_droits!$I$17:$I$68)+LOOKUP($A46,Cot_droits!$A$17:$A$68,Cot_droits!$J$17:$J$68)+LOOKUP($A46,Cot_droits!$A$17:$A$68,Cot_droits!$N$17:$N$68))/LOOKUP($A46,Barèmes!$A$65:$A$148,Barèmes!$C$65:$C$148),IF(AND($A46&gt;=$B$5+$B$4,$A46&lt;=INT($B$8)-1+$B$4),LOOKUP($A46,Retraite!$A$7:$A$47,Retraite!$M$7:$M$47)/LOOKUP($A46,Barèmes!$A$65:$A$148,Barèmes!$C$65:$C$148),IF($A46=INT($B$8+$B$4),(LOOKUP($A46,Retraite!$A$7:$A$47,Retraite!$M$7:$M$47)/LOOKUP($A46,Barèmes!$A$65:$A$148,Barèmes!$C$65:$C$148))*(1-(INT($B$8)+1-$B$8)),0)))</f>
        <v>-5327.8429944049167</v>
      </c>
      <c r="I46" s="121">
        <f>IF($A46&lt;$B$5+$B$4,-(LOOKUP($A46,Cot_droits!$A$17:$A$68,Cot_droits!$I$17:$I$68)+LOOKUP($A46,Cot_droits!$A$17:$A$68,Cot_droits!$J$17:$J$68)+LOOKUP($A46,Cot_droits!$A$17:$A$68,Cot_droits!$N$17:$N$68))/LOOKUP($A46,Barèmes!$A$65:$A$148,Barèmes!$C$65:$C$148),IF(AND($A46&gt;=$B$5+$B$4,$A46&lt;=INT($B$8)-1+$B$4),LOOKUP($A46,Retraite!$A$7:$A$47,Retraite!$Q$7:Q$47)/LOOKUP($A46,Barèmes!$A$65:$A$148,Barèmes!$C$65:$C$148),IF($A46=INT($B$8+$B$4),(LOOKUP($A46,Retraite!$A$7:$A$47,Retraite!$Q$7:$Q$47)/LOOKUP($A46,Barèmes!$A$65:$A$148,Barèmes!$C$65:$C$148))*(1-(INT($B$8)+1-$B$8)),0)))</f>
        <v>-5327.8429944049167</v>
      </c>
      <c r="J46" s="115"/>
    </row>
    <row r="47" spans="1:10" s="43" customFormat="1" ht="15.75" customHeight="1" x14ac:dyDescent="0.25">
      <c r="A47" s="125">
        <f t="shared" si="0"/>
        <v>2052</v>
      </c>
      <c r="B47" s="131">
        <f>IF($A47&lt;$B$5+$B$4,-LOOKUP($A47,Cot_droits!$A$17:$A$68,Cot_droits!$Q$17:$Q$68)/LOOKUP($A47,Barèmes!$A$65:$A$148,Barèmes!$C$65:$C$148),IF(AND($A47&gt;=$B$5+$B$4,$A47&lt;=INT($B$8)+$B$4-1),LOOKUP($A47,Retraite!$A$7:$A$47,Retraite!$K$7:$K$47)/LOOKUP($A47,Barèmes!$A$65:$A$148,Barèmes!$C$65:$C$148),IF($A47=INT($B$8+$B$4),(LOOKUP($A47,Retraite!$A$7:$A$47,Retraite!$K$7:$K$47)/LOOKUP($A47,Barèmes!$A$65:$A$148,Barèmes!$C$65:$C$148))*(1-(INT($B$8+1)-$B$8)),0)))</f>
        <v>-14702.529205225628</v>
      </c>
      <c r="C47" s="121">
        <f>IF($A47&lt;$B$5+$B$4,-LOOKUP($A47,Cot_droits!$A$17:$A$68,Cot_droits!$Q$17:$Q$68)/LOOKUP($A47,Barèmes!$A$65:$A$148,Barèmes!$C$65:$C$148),IF(AND($A47&gt;=$B$5+$B$4,$A47&lt;=INT($B$8)-1+$B$4),LOOKUP($A47,Retraite!$A$7:$A$47,Retraite!N$7:$N$47)/LOOKUP($A47,Barèmes!$A$65:$A$148,Barèmes!$C$65:$C$148),IF($A47=INT($B$8+$B$4),(LOOKUP($A47,Retraite!$A$7:$A$47,Retraite!$N$7:$N$47)/LOOKUP($A47,Barèmes!$A$65:$A$148,Barèmes!$C$65:$C$148))*(1-(INT($B$8)+1-$B$8)),0)))</f>
        <v>-14702.529205225628</v>
      </c>
      <c r="D47" s="115"/>
      <c r="E47" s="131">
        <f>IF($A47&lt;$B$5+$B$4,-(LOOKUP($A47,Cot_droits!$A$17:$A$68,Cot_droits!$H$17:$H$68)+LOOKUP($A47,Cot_droits!$A$17:$A$68,Cot_droits!$L$17:$L$68))/LOOKUP($A47,Barèmes!$A$65:$A$148,Barèmes!$C$65:$C$148),IF(AND($A47&gt;=$B$5+$B$4,$A47&lt;=INT($B$8)-1+$B$4),LOOKUP($A47,Retraite!$A$7:$A$47,Retraite!$L$7:$L$47)/LOOKUP($A47,Barèmes!$A$65:$A$148,Barèmes!$C$65:$C$148),IF($A47=INT($B$8+$B$4),(LOOKUP($A47,Retraite!$A$7:$A$47,Retraite!$L$7:$L$47)/LOOKUP($A47,Barèmes!$A$65:$A$148,Barèmes!$C$65:$C$148))*(1-(INT($B$8)+1-$B$8)),0)))</f>
        <v>-9396.194044529233</v>
      </c>
      <c r="F47" s="121">
        <f>IF($A47&lt;$B$5+$B$4,-(LOOKUP($A47,Cot_droits!$A$17:$A$68,Cot_droits!$H$17:$H$68)+LOOKUP($A47,Cot_droits!$A$17:$A$68,Cot_droits!$L$17:$L$68))/LOOKUP($A47,Barèmes!$A$65:$A$148,Barèmes!$C$65:$C$148),IF(AND($A47&gt;=$B$5+$B$4,$A47&lt;=INT($B$8)-1+$B$4),LOOKUP($A47,Retraite!$A$7:$A$47,Retraite!$P$7:P$47)/LOOKUP($A47,Barèmes!$A$65:$A$148,Barèmes!$C$65:$C$148),IF($A47=INT($B$8+$B$4),(LOOKUP($A47,Retraite!$A$7:$A$47,Retraite!$P$7:$P$47)/LOOKUP($A47,Barèmes!$A$65:$A$148,Barèmes!$C$65:$C$148))*(1-(INT($B$8)+1-$B$8)),0)))</f>
        <v>-9396.194044529233</v>
      </c>
      <c r="H47" s="131">
        <f>IF($A47&lt;$B$5+$B$4,-(LOOKUP($A47,Cot_droits!$A$17:$A$68,Cot_droits!$I$17:$I$68)+LOOKUP($A47,Cot_droits!$A$17:$A$68,Cot_droits!$J$17:$J$68)+LOOKUP($A47,Cot_droits!$A$17:$A$68,Cot_droits!$N$17:$N$68))/LOOKUP($A47,Barèmes!$A$65:$A$148,Barèmes!$C$65:$C$148),IF(AND($A47&gt;=$B$5+$B$4,$A47&lt;=INT($B$8)-1+$B$4),LOOKUP($A47,Retraite!$A$7:$A$47,Retraite!$M$7:$M$47)/LOOKUP($A47,Barèmes!$A$65:$A$148,Barèmes!$C$65:$C$148),IF($A47=INT($B$8+$B$4),(LOOKUP($A47,Retraite!$A$7:$A$47,Retraite!$M$7:$M$47)/LOOKUP($A47,Barèmes!$A$65:$A$148,Barèmes!$C$65:$C$148))*(1-(INT($B$8)+1-$B$8)),0)))</f>
        <v>-5306.3351606963961</v>
      </c>
      <c r="I47" s="121">
        <f>IF($A47&lt;$B$5+$B$4,-(LOOKUP($A47,Cot_droits!$A$17:$A$68,Cot_droits!$I$17:$I$68)+LOOKUP($A47,Cot_droits!$A$17:$A$68,Cot_droits!$J$17:$J$68)+LOOKUP($A47,Cot_droits!$A$17:$A$68,Cot_droits!$N$17:$N$68))/LOOKUP($A47,Barèmes!$A$65:$A$148,Barèmes!$C$65:$C$148),IF(AND($A47&gt;=$B$5+$B$4,$A47&lt;=INT($B$8)-1+$B$4),LOOKUP($A47,Retraite!$A$7:$A$47,Retraite!$Q$7:Q$47)/LOOKUP($A47,Barèmes!$A$65:$A$148,Barèmes!$C$65:$C$148),IF($A47=INT($B$8+$B$4),(LOOKUP($A47,Retraite!$A$7:$A$47,Retraite!$Q$7:$Q$47)/LOOKUP($A47,Barèmes!$A$65:$A$148,Barèmes!$C$65:$C$148))*(1-(INT($B$8)+1-$B$8)),0)))</f>
        <v>-5306.3351606963961</v>
      </c>
      <c r="J47" s="115"/>
    </row>
    <row r="48" spans="1:10" s="43" customFormat="1" ht="15.75" customHeight="1" x14ac:dyDescent="0.25">
      <c r="A48" s="125">
        <f t="shared" si="0"/>
        <v>2053</v>
      </c>
      <c r="B48" s="131">
        <f>IF($A48&lt;$B$5+$B$4,-LOOKUP($A48,Cot_droits!$A$17:$A$68,Cot_droits!$Q$17:$Q$68)/LOOKUP($A48,Barèmes!$A$65:$A$148,Barèmes!$C$65:$C$148),IF(AND($A48&gt;=$B$5+$B$4,$A48&lt;=INT($B$8)+$B$4-1),LOOKUP($A48,Retraite!$A$7:$A$47,Retraite!$K$7:$K$47)/LOOKUP($A48,Barèmes!$A$65:$A$148,Barèmes!$C$65:$C$148),IF($A48=INT($B$8+$B$4),(LOOKUP($A48,Retraite!$A$7:$A$47,Retraite!$K$7:$K$47)/LOOKUP($A48,Barèmes!$A$65:$A$148,Barèmes!$C$65:$C$148))*(1-(INT($B$8+1)-$B$8)),0)))</f>
        <v>-14863.817695979511</v>
      </c>
      <c r="C48" s="121">
        <f>IF($A48&lt;$B$5+$B$4,-LOOKUP($A48,Cot_droits!$A$17:$A$68,Cot_droits!$Q$17:$Q$68)/LOOKUP($A48,Barèmes!$A$65:$A$148,Barèmes!$C$65:$C$148),IF(AND($A48&gt;=$B$5+$B$4,$A48&lt;=INT($B$8)-1+$B$4),LOOKUP($A48,Retraite!$A$7:$A$47,Retraite!N$7:$N$47)/LOOKUP($A48,Barèmes!$A$65:$A$148,Barèmes!$C$65:$C$148),IF($A48=INT($B$8+$B$4),(LOOKUP($A48,Retraite!$A$7:$A$47,Retraite!$N$7:$N$47)/LOOKUP($A48,Barèmes!$A$65:$A$148,Barèmes!$C$65:$C$148))*(1-(INT($B$8)+1-$B$8)),0)))</f>
        <v>-14863.817695979511</v>
      </c>
      <c r="D48" s="115"/>
      <c r="E48" s="131">
        <f>IF($A48&lt;$B$5+$B$4,-(LOOKUP($A48,Cot_droits!$A$17:$A$68,Cot_droits!$H$17:$H$68)+LOOKUP($A48,Cot_droits!$A$17:$A$68,Cot_droits!$L$17:$L$68))/LOOKUP($A48,Barèmes!$A$65:$A$148,Barèmes!$C$65:$C$148),IF(AND($A48&gt;=$B$5+$B$4,$A48&lt;=INT($B$8)-1+$B$4),LOOKUP($A48,Retraite!$A$7:$A$47,Retraite!$L$7:$L$47)/LOOKUP($A48,Barèmes!$A$65:$A$148,Barèmes!$C$65:$C$148),IF($A48=INT($B$8+$B$4),(LOOKUP($A48,Retraite!$A$7:$A$47,Retraite!$L$7:$L$47)/LOOKUP($A48,Barèmes!$A$65:$A$148,Barèmes!$C$65:$C$148))*(1-(INT($B$8)+1-$B$8)),0)))</f>
        <v>-9499.2714086424821</v>
      </c>
      <c r="F48" s="121">
        <f>IF($A48&lt;$B$5+$B$4,-(LOOKUP($A48,Cot_droits!$A$17:$A$68,Cot_droits!$H$17:$H$68)+LOOKUP($A48,Cot_droits!$A$17:$A$68,Cot_droits!$L$17:$L$68))/LOOKUP($A48,Barèmes!$A$65:$A$148,Barèmes!$C$65:$C$148),IF(AND($A48&gt;=$B$5+$B$4,$A48&lt;=INT($B$8)-1+$B$4),LOOKUP($A48,Retraite!$A$7:$A$47,Retraite!$P$7:P$47)/LOOKUP($A48,Barèmes!$A$65:$A$148,Barèmes!$C$65:$C$148),IF($A48=INT($B$8+$B$4),(LOOKUP($A48,Retraite!$A$7:$A$47,Retraite!$P$7:$P$47)/LOOKUP($A48,Barèmes!$A$65:$A$148,Barèmes!$C$65:$C$148))*(1-(INT($B$8)+1-$B$8)),0)))</f>
        <v>-9499.2714086424821</v>
      </c>
      <c r="H48" s="131">
        <f>IF($A48&lt;$B$5+$B$4,-(LOOKUP($A48,Cot_droits!$A$17:$A$68,Cot_droits!$I$17:$I$68)+LOOKUP($A48,Cot_droits!$A$17:$A$68,Cot_droits!$J$17:$J$68)+LOOKUP($A48,Cot_droits!$A$17:$A$68,Cot_droits!$N$17:$N$68))/LOOKUP($A48,Barèmes!$A$65:$A$148,Barèmes!$C$65:$C$148),IF(AND($A48&gt;=$B$5+$B$4,$A48&lt;=INT($B$8)-1+$B$4),LOOKUP($A48,Retraite!$A$7:$A$47,Retraite!$M$7:$M$47)/LOOKUP($A48,Barèmes!$A$65:$A$148,Barèmes!$C$65:$C$148),IF($A48=INT($B$8+$B$4),(LOOKUP($A48,Retraite!$A$7:$A$47,Retraite!$M$7:$M$47)/LOOKUP($A48,Barèmes!$A$65:$A$148,Barèmes!$C$65:$C$148))*(1-(INT($B$8)+1-$B$8)),0)))</f>
        <v>-5364.5462873370288</v>
      </c>
      <c r="I48" s="121">
        <f>IF($A48&lt;$B$5+$B$4,-(LOOKUP($A48,Cot_droits!$A$17:$A$68,Cot_droits!$I$17:$I$68)+LOOKUP($A48,Cot_droits!$A$17:$A$68,Cot_droits!$J$17:$J$68)+LOOKUP($A48,Cot_droits!$A$17:$A$68,Cot_droits!$N$17:$N$68))/LOOKUP($A48,Barèmes!$A$65:$A$148,Barèmes!$C$65:$C$148),IF(AND($A48&gt;=$B$5+$B$4,$A48&lt;=INT($B$8)-1+$B$4),LOOKUP($A48,Retraite!$A$7:$A$47,Retraite!$Q$7:Q$47)/LOOKUP($A48,Barèmes!$A$65:$A$148,Barèmes!$C$65:$C$148),IF($A48=INT($B$8+$B$4),(LOOKUP($A48,Retraite!$A$7:$A$47,Retraite!$Q$7:$Q$47)/LOOKUP($A48,Barèmes!$A$65:$A$148,Barèmes!$C$65:$C$148))*(1-(INT($B$8)+1-$B$8)),0)))</f>
        <v>-5364.5462873370288</v>
      </c>
      <c r="J48" s="115"/>
    </row>
    <row r="49" spans="1:10" s="43" customFormat="1" ht="15.75" customHeight="1" x14ac:dyDescent="0.25">
      <c r="A49" s="125">
        <f t="shared" si="0"/>
        <v>2054</v>
      </c>
      <c r="B49" s="131">
        <f>IF($A49&lt;$B$5+$B$4,-LOOKUP($A49,Cot_droits!$A$17:$A$68,Cot_droits!$Q$17:$Q$68)/LOOKUP($A49,Barèmes!$A$65:$A$148,Barèmes!$C$65:$C$148),IF(AND($A49&gt;=$B$5+$B$4,$A49&lt;=INT($B$8)+$B$4-1),LOOKUP($A49,Retraite!$A$7:$A$47,Retraite!$K$7:$K$47)/LOOKUP($A49,Barèmes!$A$65:$A$148,Barèmes!$C$65:$C$148),IF($A49=INT($B$8+$B$4),(LOOKUP($A49,Retraite!$A$7:$A$47,Retraite!$K$7:$K$47)/LOOKUP($A49,Barèmes!$A$65:$A$148,Barèmes!$C$65:$C$148))*(1-(INT($B$8+1)-$B$8)),0)))</f>
        <v>-14892.180942614352</v>
      </c>
      <c r="C49" s="121">
        <f>IF($A49&lt;$B$5+$B$4,-LOOKUP($A49,Cot_droits!$A$17:$A$68,Cot_droits!$Q$17:$Q$68)/LOOKUP($A49,Barèmes!$A$65:$A$148,Barèmes!$C$65:$C$148),IF(AND($A49&gt;=$B$5+$B$4,$A49&lt;=INT($B$8)-1+$B$4),LOOKUP($A49,Retraite!$A$7:$A$47,Retraite!N$7:$N$47)/LOOKUP($A49,Barèmes!$A$65:$A$148,Barèmes!$C$65:$C$148),IF($A49=INT($B$8+$B$4),(LOOKUP($A49,Retraite!$A$7:$A$47,Retraite!$N$7:$N$47)/LOOKUP($A49,Barèmes!$A$65:$A$148,Barèmes!$C$65:$C$148))*(1-(INT($B$8)+1-$B$8)),0)))</f>
        <v>-14892.180942614352</v>
      </c>
      <c r="D49" s="115"/>
      <c r="E49" s="131">
        <f>IF($A49&lt;$B$5+$B$4,-(LOOKUP($A49,Cot_droits!$A$17:$A$68,Cot_droits!$H$17:$H$68)+LOOKUP($A49,Cot_droits!$A$17:$A$68,Cot_droits!$L$17:$L$68))/LOOKUP($A49,Barèmes!$A$65:$A$148,Barèmes!$C$65:$C$148),IF(AND($A49&gt;=$B$5+$B$4,$A49&lt;=INT($B$8)-1+$B$4),LOOKUP($A49,Retraite!$A$7:$A$47,Retraite!$L$7:$L$47)/LOOKUP($A49,Barèmes!$A$65:$A$148,Barèmes!$C$65:$C$148),IF($A49=INT($B$8+$B$4),(LOOKUP($A49,Retraite!$A$7:$A$47,Retraite!$L$7:$L$47)/LOOKUP($A49,Barèmes!$A$65:$A$148,Barèmes!$C$65:$C$148))*(1-(INT($B$8)+1-$B$8)),0)))</f>
        <v>-9517.3979884569999</v>
      </c>
      <c r="F49" s="121">
        <f>IF($A49&lt;$B$5+$B$4,-(LOOKUP($A49,Cot_droits!$A$17:$A$68,Cot_droits!$H$17:$H$68)+LOOKUP($A49,Cot_droits!$A$17:$A$68,Cot_droits!$L$17:$L$68))/LOOKUP($A49,Barèmes!$A$65:$A$148,Barèmes!$C$65:$C$148),IF(AND($A49&gt;=$B$5+$B$4,$A49&lt;=INT($B$8)-1+$B$4),LOOKUP($A49,Retraite!$A$7:$A$47,Retraite!$P$7:P$47)/LOOKUP($A49,Barèmes!$A$65:$A$148,Barèmes!$C$65:$C$148),IF($A49=INT($B$8+$B$4),(LOOKUP($A49,Retraite!$A$7:$A$47,Retraite!$P$7:$P$47)/LOOKUP($A49,Barèmes!$A$65:$A$148,Barèmes!$C$65:$C$148))*(1-(INT($B$8)+1-$B$8)),0)))</f>
        <v>-9517.3979884569999</v>
      </c>
      <c r="H49" s="131">
        <f>IF($A49&lt;$B$5+$B$4,-(LOOKUP($A49,Cot_droits!$A$17:$A$68,Cot_droits!$I$17:$I$68)+LOOKUP($A49,Cot_droits!$A$17:$A$68,Cot_droits!$J$17:$J$68)+LOOKUP($A49,Cot_droits!$A$17:$A$68,Cot_droits!$N$17:$N$68))/LOOKUP($A49,Barèmes!$A$65:$A$148,Barèmes!$C$65:$C$148),IF(AND($A49&gt;=$B$5+$B$4,$A49&lt;=INT($B$8)-1+$B$4),LOOKUP($A49,Retraite!$A$7:$A$47,Retraite!$M$7:$M$47)/LOOKUP($A49,Barèmes!$A$65:$A$148,Barèmes!$C$65:$C$148),IF($A49=INT($B$8+$B$4),(LOOKUP($A49,Retraite!$A$7:$A$47,Retraite!$M$7:$M$47)/LOOKUP($A49,Barèmes!$A$65:$A$148,Barèmes!$C$65:$C$148))*(1-(INT($B$8)+1-$B$8)),0)))</f>
        <v>-5374.782954157351</v>
      </c>
      <c r="I49" s="121">
        <f>IF($A49&lt;$B$5+$B$4,-(LOOKUP($A49,Cot_droits!$A$17:$A$68,Cot_droits!$I$17:$I$68)+LOOKUP($A49,Cot_droits!$A$17:$A$68,Cot_droits!$J$17:$J$68)+LOOKUP($A49,Cot_droits!$A$17:$A$68,Cot_droits!$N$17:$N$68))/LOOKUP($A49,Barèmes!$A$65:$A$148,Barèmes!$C$65:$C$148),IF(AND($A49&gt;=$B$5+$B$4,$A49&lt;=INT($B$8)-1+$B$4),LOOKUP($A49,Retraite!$A$7:$A$47,Retraite!$Q$7:Q$47)/LOOKUP($A49,Barèmes!$A$65:$A$148,Barèmes!$C$65:$C$148),IF($A49=INT($B$8+$B$4),(LOOKUP($A49,Retraite!$A$7:$A$47,Retraite!$Q$7:$Q$47)/LOOKUP($A49,Barèmes!$A$65:$A$148,Barèmes!$C$65:$C$148))*(1-(INT($B$8)+1-$B$8)),0)))</f>
        <v>-5374.782954157351</v>
      </c>
      <c r="J49" s="115"/>
    </row>
    <row r="50" spans="1:10" s="43" customFormat="1" ht="15.75" customHeight="1" x14ac:dyDescent="0.25">
      <c r="A50" s="125">
        <f t="shared" si="0"/>
        <v>2055</v>
      </c>
      <c r="B50" s="131">
        <f>IF($A50&lt;$B$5+$B$4,-LOOKUP($A50,Cot_droits!$A$17:$A$68,Cot_droits!$Q$17:$Q$68)/LOOKUP($A50,Barèmes!$A$65:$A$148,Barèmes!$C$65:$C$148),IF(AND($A50&gt;=$B$5+$B$4,$A50&lt;=INT($B$8)+$B$4-1),LOOKUP($A50,Retraite!$A$7:$A$47,Retraite!$K$7:$K$47)/LOOKUP($A50,Barèmes!$A$65:$A$148,Barèmes!$C$65:$C$148),IF($A50=INT($B$8+$B$4),(LOOKUP($A50,Retraite!$A$7:$A$47,Retraite!$K$7:$K$47)/LOOKUP($A50,Barèmes!$A$65:$A$148,Barèmes!$C$65:$C$148))*(1-(INT($B$8+1)-$B$8)),0)))</f>
        <v>-15094.08835245611</v>
      </c>
      <c r="C50" s="121">
        <f>IF($A50&lt;$B$5+$B$4,-LOOKUP($A50,Cot_droits!$A$17:$A$68,Cot_droits!$Q$17:$Q$68)/LOOKUP($A50,Barèmes!$A$65:$A$148,Barèmes!$C$65:$C$148),IF(AND($A50&gt;=$B$5+$B$4,$A50&lt;=INT($B$8)-1+$B$4),LOOKUP($A50,Retraite!$A$7:$A$47,Retraite!N$7:$N$47)/LOOKUP($A50,Barèmes!$A$65:$A$148,Barèmes!$C$65:$C$148),IF($A50=INT($B$8+$B$4),(LOOKUP($A50,Retraite!$A$7:$A$47,Retraite!$N$7:$N$47)/LOOKUP($A50,Barèmes!$A$65:$A$148,Barèmes!$C$65:$C$148))*(1-(INT($B$8)+1-$B$8)),0)))</f>
        <v>-15094.08835245611</v>
      </c>
      <c r="D50" s="115"/>
      <c r="E50" s="131">
        <f>IF($A50&lt;$B$5+$B$4,-(LOOKUP($A50,Cot_droits!$A$17:$A$68,Cot_droits!$H$17:$H$68)+LOOKUP($A50,Cot_droits!$A$17:$A$68,Cot_droits!$L$17:$L$68))/LOOKUP($A50,Barèmes!$A$65:$A$148,Barèmes!$C$65:$C$148),IF(AND($A50&gt;=$B$5+$B$4,$A50&lt;=INT($B$8)-1+$B$4),LOOKUP($A50,Retraite!$A$7:$A$47,Retraite!$L$7:$L$47)/LOOKUP($A50,Barèmes!$A$65:$A$148,Barèmes!$C$65:$C$148),IF($A50=INT($B$8+$B$4),(LOOKUP($A50,Retraite!$A$7:$A$47,Retraite!$L$7:$L$47)/LOOKUP($A50,Barèmes!$A$65:$A$148,Barèmes!$C$65:$C$148))*(1-(INT($B$8)+1-$B$8)),0)))</f>
        <v>-9646.4343722940866</v>
      </c>
      <c r="F50" s="121">
        <f>IF($A50&lt;$B$5+$B$4,-(LOOKUP($A50,Cot_droits!$A$17:$A$68,Cot_droits!$H$17:$H$68)+LOOKUP($A50,Cot_droits!$A$17:$A$68,Cot_droits!$L$17:$L$68))/LOOKUP($A50,Barèmes!$A$65:$A$148,Barèmes!$C$65:$C$148),IF(AND($A50&gt;=$B$5+$B$4,$A50&lt;=INT($B$8)-1+$B$4),LOOKUP($A50,Retraite!$A$7:$A$47,Retraite!$P$7:P$47)/LOOKUP($A50,Barèmes!$A$65:$A$148,Barèmes!$C$65:$C$148),IF($A50=INT($B$8+$B$4),(LOOKUP($A50,Retraite!$A$7:$A$47,Retraite!$P$7:$P$47)/LOOKUP($A50,Barèmes!$A$65:$A$148,Barèmes!$C$65:$C$148))*(1-(INT($B$8)+1-$B$8)),0)))</f>
        <v>-9646.4343722940866</v>
      </c>
      <c r="H50" s="131">
        <f>IF($A50&lt;$B$5+$B$4,-(LOOKUP($A50,Cot_droits!$A$17:$A$68,Cot_droits!$I$17:$I$68)+LOOKUP($A50,Cot_droits!$A$17:$A$68,Cot_droits!$J$17:$J$68)+LOOKUP($A50,Cot_droits!$A$17:$A$68,Cot_droits!$N$17:$N$68))/LOOKUP($A50,Barèmes!$A$65:$A$148,Barèmes!$C$65:$C$148),IF(AND($A50&gt;=$B$5+$B$4,$A50&lt;=INT($B$8)-1+$B$4),LOOKUP($A50,Retraite!$A$7:$A$47,Retraite!$M$7:$M$47)/LOOKUP($A50,Barèmes!$A$65:$A$148,Barèmes!$C$65:$C$148),IF($A50=INT($B$8+$B$4),(LOOKUP($A50,Retraite!$A$7:$A$47,Retraite!$M$7:$M$47)/LOOKUP($A50,Barèmes!$A$65:$A$148,Barèmes!$C$65:$C$148))*(1-(INT($B$8)+1-$B$8)),0)))</f>
        <v>-5447.6539801620238</v>
      </c>
      <c r="I50" s="121">
        <f>IF($A50&lt;$B$5+$B$4,-(LOOKUP($A50,Cot_droits!$A$17:$A$68,Cot_droits!$I$17:$I$68)+LOOKUP($A50,Cot_droits!$A$17:$A$68,Cot_droits!$J$17:$J$68)+LOOKUP($A50,Cot_droits!$A$17:$A$68,Cot_droits!$N$17:$N$68))/LOOKUP($A50,Barèmes!$A$65:$A$148,Barèmes!$C$65:$C$148),IF(AND($A50&gt;=$B$5+$B$4,$A50&lt;=INT($B$8)-1+$B$4),LOOKUP($A50,Retraite!$A$7:$A$47,Retraite!$Q$7:Q$47)/LOOKUP($A50,Barèmes!$A$65:$A$148,Barèmes!$C$65:$C$148),IF($A50=INT($B$8+$B$4),(LOOKUP($A50,Retraite!$A$7:$A$47,Retraite!$Q$7:$Q$47)/LOOKUP($A50,Barèmes!$A$65:$A$148,Barèmes!$C$65:$C$148))*(1-(INT($B$8)+1-$B$8)),0)))</f>
        <v>-5447.6539801620238</v>
      </c>
      <c r="J50" s="115"/>
    </row>
    <row r="51" spans="1:10" s="43" customFormat="1" ht="15.75" customHeight="1" x14ac:dyDescent="0.25">
      <c r="A51" s="125">
        <f t="shared" si="0"/>
        <v>2056</v>
      </c>
      <c r="B51" s="131">
        <f>IF($A51&lt;$B$5+$B$4,-LOOKUP($A51,Cot_droits!$A$17:$A$68,Cot_droits!$Q$17:$Q$68)/LOOKUP($A51,Barèmes!$A$65:$A$148,Barèmes!$C$65:$C$148),IF(AND($A51&gt;=$B$5+$B$4,$A51&lt;=INT($B$8)+$B$4-1),LOOKUP($A51,Retraite!$A$7:$A$47,Retraite!$K$7:$K$47)/LOOKUP($A51,Barèmes!$A$65:$A$148,Barèmes!$C$65:$C$148),IF($A51=INT($B$8+$B$4),(LOOKUP($A51,Retraite!$A$7:$A$47,Retraite!$K$7:$K$47)/LOOKUP($A51,Barèmes!$A$65:$A$148,Barèmes!$C$65:$C$148))*(1-(INT($B$8+1)-$B$8)),0)))</f>
        <v>-15001.130887723466</v>
      </c>
      <c r="C51" s="121">
        <f>IF($A51&lt;$B$5+$B$4,-LOOKUP($A51,Cot_droits!$A$17:$A$68,Cot_droits!$Q$17:$Q$68)/LOOKUP($A51,Barèmes!$A$65:$A$148,Barèmes!$C$65:$C$148),IF(AND($A51&gt;=$B$5+$B$4,$A51&lt;=INT($B$8)-1+$B$4),LOOKUP($A51,Retraite!$A$7:$A$47,Retraite!N$7:$N$47)/LOOKUP($A51,Barèmes!$A$65:$A$148,Barèmes!$C$65:$C$148),IF($A51=INT($B$8+$B$4),(LOOKUP($A51,Retraite!$A$7:$A$47,Retraite!$N$7:$N$47)/LOOKUP($A51,Barèmes!$A$65:$A$148,Barèmes!$C$65:$C$148))*(1-(INT($B$8)+1-$B$8)),0)))</f>
        <v>-15001.130887723466</v>
      </c>
      <c r="D51" s="115"/>
      <c r="E51" s="131">
        <f>IF($A51&lt;$B$5+$B$4,-(LOOKUP($A51,Cot_droits!$A$17:$A$68,Cot_droits!$H$17:$H$68)+LOOKUP($A51,Cot_droits!$A$17:$A$68,Cot_droits!$L$17:$L$68))/LOOKUP($A51,Barèmes!$A$65:$A$148,Barèmes!$C$65:$C$148),IF(AND($A51&gt;=$B$5+$B$4,$A51&lt;=INT($B$8)-1+$B$4),LOOKUP($A51,Retraite!$A$7:$A$47,Retraite!$L$7:$L$47)/LOOKUP($A51,Barèmes!$A$65:$A$148,Barèmes!$C$65:$C$148),IF($A51=INT($B$8+$B$4),(LOOKUP($A51,Retraite!$A$7:$A$47,Retraite!$L$7:$L$47)/LOOKUP($A51,Barèmes!$A$65:$A$148,Barèmes!$C$65:$C$148))*(1-(INT($B$8)+1-$B$8)),0)))</f>
        <v>-9587.0264728556031</v>
      </c>
      <c r="F51" s="121">
        <f>IF($A51&lt;$B$5+$B$4,-(LOOKUP($A51,Cot_droits!$A$17:$A$68,Cot_droits!$H$17:$H$68)+LOOKUP($A51,Cot_droits!$A$17:$A$68,Cot_droits!$L$17:$L$68))/LOOKUP($A51,Barèmes!$A$65:$A$148,Barèmes!$C$65:$C$148),IF(AND($A51&gt;=$B$5+$B$4,$A51&lt;=INT($B$8)-1+$B$4),LOOKUP($A51,Retraite!$A$7:$A$47,Retraite!$P$7:P$47)/LOOKUP($A51,Barèmes!$A$65:$A$148,Barèmes!$C$65:$C$148),IF($A51=INT($B$8+$B$4),(LOOKUP($A51,Retraite!$A$7:$A$47,Retraite!$P$7:$P$47)/LOOKUP($A51,Barèmes!$A$65:$A$148,Barèmes!$C$65:$C$148))*(1-(INT($B$8)+1-$B$8)),0)))</f>
        <v>-9587.0264728556031</v>
      </c>
      <c r="H51" s="131">
        <f>IF($A51&lt;$B$5+$B$4,-(LOOKUP($A51,Cot_droits!$A$17:$A$68,Cot_droits!$I$17:$I$68)+LOOKUP($A51,Cot_droits!$A$17:$A$68,Cot_droits!$J$17:$J$68)+LOOKUP($A51,Cot_droits!$A$17:$A$68,Cot_droits!$N$17:$N$68))/LOOKUP($A51,Barèmes!$A$65:$A$148,Barèmes!$C$65:$C$148),IF(AND($A51&gt;=$B$5+$B$4,$A51&lt;=INT($B$8)-1+$B$4),LOOKUP($A51,Retraite!$A$7:$A$47,Retraite!$M$7:$M$47)/LOOKUP($A51,Barèmes!$A$65:$A$148,Barèmes!$C$65:$C$148),IF($A51=INT($B$8+$B$4),(LOOKUP($A51,Retraite!$A$7:$A$47,Retraite!$M$7:$M$47)/LOOKUP($A51,Barèmes!$A$65:$A$148,Barèmes!$C$65:$C$148))*(1-(INT($B$8)+1-$B$8)),0)))</f>
        <v>-5414.1044148678639</v>
      </c>
      <c r="I51" s="121">
        <f>IF($A51&lt;$B$5+$B$4,-(LOOKUP($A51,Cot_droits!$A$17:$A$68,Cot_droits!$I$17:$I$68)+LOOKUP($A51,Cot_droits!$A$17:$A$68,Cot_droits!$J$17:$J$68)+LOOKUP($A51,Cot_droits!$A$17:$A$68,Cot_droits!$N$17:$N$68))/LOOKUP($A51,Barèmes!$A$65:$A$148,Barèmes!$C$65:$C$148),IF(AND($A51&gt;=$B$5+$B$4,$A51&lt;=INT($B$8)-1+$B$4),LOOKUP($A51,Retraite!$A$7:$A$47,Retraite!$Q$7:Q$47)/LOOKUP($A51,Barèmes!$A$65:$A$148,Barèmes!$C$65:$C$148),IF($A51=INT($B$8+$B$4),(LOOKUP($A51,Retraite!$A$7:$A$47,Retraite!$Q$7:$Q$47)/LOOKUP($A51,Barèmes!$A$65:$A$148,Barèmes!$C$65:$C$148))*(1-(INT($B$8)+1-$B$8)),0)))</f>
        <v>-5414.1044148678639</v>
      </c>
      <c r="J51" s="115"/>
    </row>
    <row r="52" spans="1:10" s="43" customFormat="1" ht="15.75" customHeight="1" x14ac:dyDescent="0.25">
      <c r="A52" s="125">
        <f t="shared" si="0"/>
        <v>2057</v>
      </c>
      <c r="B52" s="131">
        <f>IF($A52&lt;$B$5+$B$4,-LOOKUP($A52,Cot_droits!$A$17:$A$68,Cot_droits!$Q$17:$Q$68)/LOOKUP($A52,Barèmes!$A$65:$A$148,Barèmes!$C$65:$C$148),IF(AND($A52&gt;=$B$5+$B$4,$A52&lt;=INT($B$8)+$B$4-1),LOOKUP($A52,Retraite!$A$7:$A$47,Retraite!$K$7:$K$47)/LOOKUP($A52,Barèmes!$A$65:$A$148,Barèmes!$C$65:$C$148),IF($A52=INT($B$8+$B$4),(LOOKUP($A52,Retraite!$A$7:$A$47,Retraite!$K$7:$K$47)/LOOKUP($A52,Barèmes!$A$65:$A$148,Barèmes!$C$65:$C$148))*(1-(INT($B$8+1)-$B$8)),0)))</f>
        <v>-15345.976477401966</v>
      </c>
      <c r="C52" s="121">
        <f>IF($A52&lt;$B$5+$B$4,-LOOKUP($A52,Cot_droits!$A$17:$A$68,Cot_droits!$Q$17:$Q$68)/LOOKUP($A52,Barèmes!$A$65:$A$148,Barèmes!$C$65:$C$148),IF(AND($A52&gt;=$B$5+$B$4,$A52&lt;=INT($B$8)-1+$B$4),LOOKUP($A52,Retraite!$A$7:$A$47,Retraite!N$7:$N$47)/LOOKUP($A52,Barèmes!$A$65:$A$148,Barèmes!$C$65:$C$148),IF($A52=INT($B$8+$B$4),(LOOKUP($A52,Retraite!$A$7:$A$47,Retraite!$N$7:$N$47)/LOOKUP($A52,Barèmes!$A$65:$A$148,Barèmes!$C$65:$C$148))*(1-(INT($B$8)+1-$B$8)),0)))</f>
        <v>-15345.976477401966</v>
      </c>
      <c r="D52" s="115"/>
      <c r="E52" s="131">
        <f>IF($A52&lt;$B$5+$B$4,-(LOOKUP($A52,Cot_droits!$A$17:$A$68,Cot_droits!$H$17:$H$68)+LOOKUP($A52,Cot_droits!$A$17:$A$68,Cot_droits!$L$17:$L$68))/LOOKUP($A52,Barèmes!$A$65:$A$148,Barèmes!$C$65:$C$148),IF(AND($A52&gt;=$B$5+$B$4,$A52&lt;=INT($B$8)-1+$B$4),LOOKUP($A52,Retraite!$A$7:$A$47,Retraite!$L$7:$L$47)/LOOKUP($A52,Barèmes!$A$65:$A$148,Barèmes!$C$65:$C$148),IF($A52=INT($B$8+$B$4),(LOOKUP($A52,Retraite!$A$7:$A$47,Retraite!$L$7:$L$47)/LOOKUP($A52,Barèmes!$A$65:$A$148,Barèmes!$C$65:$C$148))*(1-(INT($B$8)+1-$B$8)),0)))</f>
        <v>-9807.4127771975545</v>
      </c>
      <c r="F52" s="121">
        <f>IF($A52&lt;$B$5+$B$4,-(LOOKUP($A52,Cot_droits!$A$17:$A$68,Cot_droits!$H$17:$H$68)+LOOKUP($A52,Cot_droits!$A$17:$A$68,Cot_droits!$L$17:$L$68))/LOOKUP($A52,Barèmes!$A$65:$A$148,Barèmes!$C$65:$C$148),IF(AND($A52&gt;=$B$5+$B$4,$A52&lt;=INT($B$8)-1+$B$4),LOOKUP($A52,Retraite!$A$7:$A$47,Retraite!$P$7:P$47)/LOOKUP($A52,Barèmes!$A$65:$A$148,Barèmes!$C$65:$C$148),IF($A52=INT($B$8+$B$4),(LOOKUP($A52,Retraite!$A$7:$A$47,Retraite!$P$7:$P$47)/LOOKUP($A52,Barèmes!$A$65:$A$148,Barèmes!$C$65:$C$148))*(1-(INT($B$8)+1-$B$8)),0)))</f>
        <v>-9807.4127771975545</v>
      </c>
      <c r="H52" s="131">
        <f>IF($A52&lt;$B$5+$B$4,-(LOOKUP($A52,Cot_droits!$A$17:$A$68,Cot_droits!$I$17:$I$68)+LOOKUP($A52,Cot_droits!$A$17:$A$68,Cot_droits!$J$17:$J$68)+LOOKUP($A52,Cot_droits!$A$17:$A$68,Cot_droits!$N$17:$N$68))/LOOKUP($A52,Barèmes!$A$65:$A$148,Barèmes!$C$65:$C$148),IF(AND($A52&gt;=$B$5+$B$4,$A52&lt;=INT($B$8)-1+$B$4),LOOKUP($A52,Retraite!$A$7:$A$47,Retraite!$M$7:$M$47)/LOOKUP($A52,Barèmes!$A$65:$A$148,Barèmes!$C$65:$C$148),IF($A52=INT($B$8+$B$4),(LOOKUP($A52,Retraite!$A$7:$A$47,Retraite!$M$7:$M$47)/LOOKUP($A52,Barèmes!$A$65:$A$148,Barèmes!$C$65:$C$148))*(1-(INT($B$8)+1-$B$8)),0)))</f>
        <v>-5538.5637002044114</v>
      </c>
      <c r="I52" s="121">
        <f>IF($A52&lt;$B$5+$B$4,-(LOOKUP($A52,Cot_droits!$A$17:$A$68,Cot_droits!$I$17:$I$68)+LOOKUP($A52,Cot_droits!$A$17:$A$68,Cot_droits!$J$17:$J$68)+LOOKUP($A52,Cot_droits!$A$17:$A$68,Cot_droits!$N$17:$N$68))/LOOKUP($A52,Barèmes!$A$65:$A$148,Barèmes!$C$65:$C$148),IF(AND($A52&gt;=$B$5+$B$4,$A52&lt;=INT($B$8)-1+$B$4),LOOKUP($A52,Retraite!$A$7:$A$47,Retraite!$Q$7:Q$47)/LOOKUP($A52,Barèmes!$A$65:$A$148,Barèmes!$C$65:$C$148),IF($A52=INT($B$8+$B$4),(LOOKUP($A52,Retraite!$A$7:$A$47,Retraite!$Q$7:$Q$47)/LOOKUP($A52,Barèmes!$A$65:$A$148,Barèmes!$C$65:$C$148))*(1-(INT($B$8)+1-$B$8)),0)))</f>
        <v>-5538.5637002044114</v>
      </c>
      <c r="J52" s="115"/>
    </row>
    <row r="53" spans="1:10" s="43" customFormat="1" ht="15.75" customHeight="1" x14ac:dyDescent="0.25">
      <c r="A53" s="125">
        <f t="shared" si="0"/>
        <v>2058</v>
      </c>
      <c r="B53" s="131">
        <f>IF($A53&lt;$B$5+$B$4,-LOOKUP($A53,Cot_droits!$A$17:$A$68,Cot_droits!$Q$17:$Q$68)/LOOKUP($A53,Barèmes!$A$65:$A$148,Barèmes!$C$65:$C$148),IF(AND($A53&gt;=$B$5+$B$4,$A53&lt;=INT($B$8)+$B$4-1),LOOKUP($A53,Retraite!$A$7:$A$47,Retraite!$K$7:$K$47)/LOOKUP($A53,Barèmes!$A$65:$A$148,Barèmes!$C$65:$C$148),IF($A53=INT($B$8+$B$4),(LOOKUP($A53,Retraite!$A$7:$A$47,Retraite!$K$7:$K$47)/LOOKUP($A53,Barèmes!$A$65:$A$148,Barèmes!$C$65:$C$148))*(1-(INT($B$8+1)-$B$8)),0)))</f>
        <v>-15662.933488256376</v>
      </c>
      <c r="C53" s="121">
        <f>IF($A53&lt;$B$5+$B$4,-LOOKUP($A53,Cot_droits!$A$17:$A$68,Cot_droits!$Q$17:$Q$68)/LOOKUP($A53,Barèmes!$A$65:$A$148,Barèmes!$C$65:$C$148),IF(AND($A53&gt;=$B$5+$B$4,$A53&lt;=INT($B$8)-1+$B$4),LOOKUP($A53,Retraite!$A$7:$A$47,Retraite!N$7:$N$47)/LOOKUP($A53,Barèmes!$A$65:$A$148,Barèmes!$C$65:$C$148),IF($A53=INT($B$8+$B$4),(LOOKUP($A53,Retraite!$A$7:$A$47,Retraite!$N$7:$N$47)/LOOKUP($A53,Barèmes!$A$65:$A$148,Barèmes!$C$65:$C$148))*(1-(INT($B$8)+1-$B$8)),0)))</f>
        <v>-15662.933488256376</v>
      </c>
      <c r="D53" s="115"/>
      <c r="E53" s="131">
        <f>IF($A53&lt;$B$5+$B$4,-(LOOKUP($A53,Cot_droits!$A$17:$A$68,Cot_droits!$H$17:$H$68)+LOOKUP($A53,Cot_droits!$A$17:$A$68,Cot_droits!$L$17:$L$68))/LOOKUP($A53,Barèmes!$A$65:$A$148,Barèmes!$C$65:$C$148),IF(AND($A53&gt;=$B$5+$B$4,$A53&lt;=INT($B$8)-1+$B$4),LOOKUP($A53,Retraite!$A$7:$A$47,Retraite!$L$7:$L$47)/LOOKUP($A53,Barèmes!$A$65:$A$148,Barèmes!$C$65:$C$148),IF($A53=INT($B$8+$B$4),(LOOKUP($A53,Retraite!$A$7:$A$47,Retraite!$L$7:$L$47)/LOOKUP($A53,Barèmes!$A$65:$A$148,Barèmes!$C$65:$C$148))*(1-(INT($B$8)+1-$B$8)),0)))</f>
        <v>-10009.9758557122</v>
      </c>
      <c r="F53" s="121">
        <f>IF($A53&lt;$B$5+$B$4,-(LOOKUP($A53,Cot_droits!$A$17:$A$68,Cot_droits!$H$17:$H$68)+LOOKUP($A53,Cot_droits!$A$17:$A$68,Cot_droits!$L$17:$L$68))/LOOKUP($A53,Barèmes!$A$65:$A$148,Barèmes!$C$65:$C$148),IF(AND($A53&gt;=$B$5+$B$4,$A53&lt;=INT($B$8)-1+$B$4),LOOKUP($A53,Retraite!$A$7:$A$47,Retraite!$P$7:P$47)/LOOKUP($A53,Barèmes!$A$65:$A$148,Barèmes!$C$65:$C$148),IF($A53=INT($B$8+$B$4),(LOOKUP($A53,Retraite!$A$7:$A$47,Retraite!$P$7:$P$47)/LOOKUP($A53,Barèmes!$A$65:$A$148,Barèmes!$C$65:$C$148))*(1-(INT($B$8)+1-$B$8)),0)))</f>
        <v>-10009.9758557122</v>
      </c>
      <c r="H53" s="131">
        <f>IF($A53&lt;$B$5+$B$4,-(LOOKUP($A53,Cot_droits!$A$17:$A$68,Cot_droits!$I$17:$I$68)+LOOKUP($A53,Cot_droits!$A$17:$A$68,Cot_droits!$J$17:$J$68)+LOOKUP($A53,Cot_droits!$A$17:$A$68,Cot_droits!$N$17:$N$68))/LOOKUP($A53,Barèmes!$A$65:$A$148,Barèmes!$C$65:$C$148),IF(AND($A53&gt;=$B$5+$B$4,$A53&lt;=INT($B$8)-1+$B$4),LOOKUP($A53,Retraite!$A$7:$A$47,Retraite!$M$7:$M$47)/LOOKUP($A53,Barèmes!$A$65:$A$148,Barèmes!$C$65:$C$148),IF($A53=INT($B$8+$B$4),(LOOKUP($A53,Retraite!$A$7:$A$47,Retraite!$M$7:$M$47)/LOOKUP($A53,Barèmes!$A$65:$A$148,Barèmes!$C$65:$C$148))*(1-(INT($B$8)+1-$B$8)),0)))</f>
        <v>-5652.9576325441749</v>
      </c>
      <c r="I53" s="121">
        <f>IF($A53&lt;$B$5+$B$4,-(LOOKUP($A53,Cot_droits!$A$17:$A$68,Cot_droits!$I$17:$I$68)+LOOKUP($A53,Cot_droits!$A$17:$A$68,Cot_droits!$J$17:$J$68)+LOOKUP($A53,Cot_droits!$A$17:$A$68,Cot_droits!$N$17:$N$68))/LOOKUP($A53,Barèmes!$A$65:$A$148,Barèmes!$C$65:$C$148),IF(AND($A53&gt;=$B$5+$B$4,$A53&lt;=INT($B$8)-1+$B$4),LOOKUP($A53,Retraite!$A$7:$A$47,Retraite!$Q$7:Q$47)/LOOKUP($A53,Barèmes!$A$65:$A$148,Barèmes!$C$65:$C$148),IF($A53=INT($B$8+$B$4),(LOOKUP($A53,Retraite!$A$7:$A$47,Retraite!$Q$7:$Q$47)/LOOKUP($A53,Barèmes!$A$65:$A$148,Barèmes!$C$65:$C$148))*(1-(INT($B$8)+1-$B$8)),0)))</f>
        <v>-5652.9576325441749</v>
      </c>
      <c r="J53" s="115"/>
    </row>
    <row r="54" spans="1:10" s="43" customFormat="1" ht="15.75" customHeight="1" x14ac:dyDescent="0.25">
      <c r="A54" s="125">
        <f t="shared" si="0"/>
        <v>2059</v>
      </c>
      <c r="B54" s="131">
        <f>IF($A54&lt;$B$5+$B$4,-LOOKUP($A54,Cot_droits!$A$17:$A$68,Cot_droits!$Q$17:$Q$68)/LOOKUP($A54,Barèmes!$A$65:$A$148,Barèmes!$C$65:$C$148),IF(AND($A54&gt;=$B$5+$B$4,$A54&lt;=INT($B$8)+$B$4-1),LOOKUP($A54,Retraite!$A$7:$A$47,Retraite!$K$7:$K$47)/LOOKUP($A54,Barèmes!$A$65:$A$148,Barèmes!$C$65:$C$148),IF($A54=INT($B$8+$B$4),(LOOKUP($A54,Retraite!$A$7:$A$47,Retraite!$K$7:$K$47)/LOOKUP($A54,Barèmes!$A$65:$A$148,Barèmes!$C$65:$C$148))*(1-(INT($B$8+1)-$B$8)),0)))</f>
        <v>-15880.227886593204</v>
      </c>
      <c r="C54" s="121">
        <f>IF($A54&lt;$B$5+$B$4,-LOOKUP($A54,Cot_droits!$A$17:$A$68,Cot_droits!$Q$17:$Q$68)/LOOKUP($A54,Barèmes!$A$65:$A$148,Barèmes!$C$65:$C$148),IF(AND($A54&gt;=$B$5+$B$4,$A54&lt;=INT($B$8)-1+$B$4),LOOKUP($A54,Retraite!$A$7:$A$47,Retraite!N$7:$N$47)/LOOKUP($A54,Barèmes!$A$65:$A$148,Barèmes!$C$65:$C$148),IF($A54=INT($B$8+$B$4),(LOOKUP($A54,Retraite!$A$7:$A$47,Retraite!$N$7:$N$47)/LOOKUP($A54,Barèmes!$A$65:$A$148,Barèmes!$C$65:$C$148))*(1-(INT($B$8)+1-$B$8)),0)))</f>
        <v>-15880.227886593204</v>
      </c>
      <c r="D54" s="115"/>
      <c r="E54" s="131">
        <f>IF($A54&lt;$B$5+$B$4,-(LOOKUP($A54,Cot_droits!$A$17:$A$68,Cot_droits!$H$17:$H$68)+LOOKUP($A54,Cot_droits!$A$17:$A$68,Cot_droits!$L$17:$L$68))/LOOKUP($A54,Barèmes!$A$65:$A$148,Barèmes!$C$65:$C$148),IF(AND($A54&gt;=$B$5+$B$4,$A54&lt;=INT($B$8)-1+$B$4),LOOKUP($A54,Retraite!$A$7:$A$47,Retraite!$L$7:$L$47)/LOOKUP($A54,Barèmes!$A$65:$A$148,Barèmes!$C$65:$C$148),IF($A54=INT($B$8+$B$4),(LOOKUP($A54,Retraite!$A$7:$A$47,Retraite!$L$7:$L$47)/LOOKUP($A54,Barèmes!$A$65:$A$148,Barèmes!$C$65:$C$148))*(1-(INT($B$8)+1-$B$8)),0)))</f>
        <v>-10148.845862570366</v>
      </c>
      <c r="F54" s="121">
        <f>IF($A54&lt;$B$5+$B$4,-(LOOKUP($A54,Cot_droits!$A$17:$A$68,Cot_droits!$H$17:$H$68)+LOOKUP($A54,Cot_droits!$A$17:$A$68,Cot_droits!$L$17:$L$68))/LOOKUP($A54,Barèmes!$A$65:$A$148,Barèmes!$C$65:$C$148),IF(AND($A54&gt;=$B$5+$B$4,$A54&lt;=INT($B$8)-1+$B$4),LOOKUP($A54,Retraite!$A$7:$A$47,Retraite!$P$7:P$47)/LOOKUP($A54,Barèmes!$A$65:$A$148,Barèmes!$C$65:$C$148),IF($A54=INT($B$8+$B$4),(LOOKUP($A54,Retraite!$A$7:$A$47,Retraite!$P$7:$P$47)/LOOKUP($A54,Barèmes!$A$65:$A$148,Barèmes!$C$65:$C$148))*(1-(INT($B$8)+1-$B$8)),0)))</f>
        <v>-10148.845862570366</v>
      </c>
      <c r="H54" s="131">
        <f>IF($A54&lt;$B$5+$B$4,-(LOOKUP($A54,Cot_droits!$A$17:$A$68,Cot_droits!$I$17:$I$68)+LOOKUP($A54,Cot_droits!$A$17:$A$68,Cot_droits!$J$17:$J$68)+LOOKUP($A54,Cot_droits!$A$17:$A$68,Cot_droits!$N$17:$N$68))/LOOKUP($A54,Barèmes!$A$65:$A$148,Barèmes!$C$65:$C$148),IF(AND($A54&gt;=$B$5+$B$4,$A54&lt;=INT($B$8)-1+$B$4),LOOKUP($A54,Retraite!$A$7:$A$47,Retraite!$M$7:$M$47)/LOOKUP($A54,Barèmes!$A$65:$A$148,Barèmes!$C$65:$C$148),IF($A54=INT($B$8+$B$4),(LOOKUP($A54,Retraite!$A$7:$A$47,Retraite!$M$7:$M$47)/LOOKUP($A54,Barèmes!$A$65:$A$148,Barèmes!$C$65:$C$148))*(1-(INT($B$8)+1-$B$8)),0)))</f>
        <v>-5731.382024022837</v>
      </c>
      <c r="I54" s="121">
        <f>IF($A54&lt;$B$5+$B$4,-(LOOKUP($A54,Cot_droits!$A$17:$A$68,Cot_droits!$I$17:$I$68)+LOOKUP($A54,Cot_droits!$A$17:$A$68,Cot_droits!$J$17:$J$68)+LOOKUP($A54,Cot_droits!$A$17:$A$68,Cot_droits!$N$17:$N$68))/LOOKUP($A54,Barèmes!$A$65:$A$148,Barèmes!$C$65:$C$148),IF(AND($A54&gt;=$B$5+$B$4,$A54&lt;=INT($B$8)-1+$B$4),LOOKUP($A54,Retraite!$A$7:$A$47,Retraite!$Q$7:Q$47)/LOOKUP($A54,Barèmes!$A$65:$A$148,Barèmes!$C$65:$C$148),IF($A54=INT($B$8+$B$4),(LOOKUP($A54,Retraite!$A$7:$A$47,Retraite!$Q$7:$Q$47)/LOOKUP($A54,Barèmes!$A$65:$A$148,Barèmes!$C$65:$C$148))*(1-(INT($B$8)+1-$B$8)),0)))</f>
        <v>-5731.382024022837</v>
      </c>
      <c r="J54" s="115"/>
    </row>
    <row r="55" spans="1:10" s="43" customFormat="1" ht="15.75" customHeight="1" x14ac:dyDescent="0.25">
      <c r="A55" s="125">
        <f t="shared" si="0"/>
        <v>2060</v>
      </c>
      <c r="B55" s="131">
        <f>IF($A55&lt;$B$5+$B$4,-LOOKUP($A55,Cot_droits!$A$17:$A$68,Cot_droits!$Q$17:$Q$68)/LOOKUP($A55,Barèmes!$A$65:$A$148,Barèmes!$C$65:$C$148),IF(AND($A55&gt;=$B$5+$B$4,$A55&lt;=INT($B$8)+$B$4-1),LOOKUP($A55,Retraite!$A$7:$A$47,Retraite!$K$7:$K$47)/LOOKUP($A55,Barèmes!$A$65:$A$148,Barèmes!$C$65:$C$148),IF($A55=INT($B$8+$B$4),(LOOKUP($A55,Retraite!$A$7:$A$47,Retraite!$K$7:$K$47)/LOOKUP($A55,Barèmes!$A$65:$A$148,Barèmes!$C$65:$C$148))*(1-(INT($B$8+1)-$B$8)),0)))</f>
        <v>-16128.59550254331</v>
      </c>
      <c r="C55" s="121">
        <f>IF($A55&lt;$B$5+$B$4,-LOOKUP($A55,Cot_droits!$A$17:$A$68,Cot_droits!$Q$17:$Q$68)/LOOKUP($A55,Barèmes!$A$65:$A$148,Barèmes!$C$65:$C$148),IF(AND($A55&gt;=$B$5+$B$4,$A55&lt;=INT($B$8)-1+$B$4),LOOKUP($A55,Retraite!$A$7:$A$47,Retraite!N$7:$N$47)/LOOKUP($A55,Barèmes!$A$65:$A$148,Barèmes!$C$65:$C$148),IF($A55=INT($B$8+$B$4),(LOOKUP($A55,Retraite!$A$7:$A$47,Retraite!$N$7:$N$47)/LOOKUP($A55,Barèmes!$A$65:$A$148,Barèmes!$C$65:$C$148))*(1-(INT($B$8)+1-$B$8)),0)))</f>
        <v>-16128.59550254331</v>
      </c>
      <c r="D55" s="115"/>
      <c r="E55" s="131">
        <f>IF($A55&lt;$B$5+$B$4,-(LOOKUP($A55,Cot_droits!$A$17:$A$68,Cot_droits!$H$17:$H$68)+LOOKUP($A55,Cot_droits!$A$17:$A$68,Cot_droits!$L$17:$L$68))/LOOKUP($A55,Barèmes!$A$65:$A$148,Barèmes!$C$65:$C$148),IF(AND($A55&gt;=$B$5+$B$4,$A55&lt;=INT($B$8)-1+$B$4),LOOKUP($A55,Retraite!$A$7:$A$47,Retraite!$L$7:$L$47)/LOOKUP($A55,Barèmes!$A$65:$A$148,Barèmes!$C$65:$C$148),IF($A55=INT($B$8+$B$4),(LOOKUP($A55,Retraite!$A$7:$A$47,Retraite!$L$7:$L$47)/LOOKUP($A55,Barèmes!$A$65:$A$148,Barèmes!$C$65:$C$148))*(1-(INT($B$8)+1-$B$8)),0)))</f>
        <v>-10307.574356237623</v>
      </c>
      <c r="F55" s="121">
        <f>IF($A55&lt;$B$5+$B$4,-(LOOKUP($A55,Cot_droits!$A$17:$A$68,Cot_droits!$H$17:$H$68)+LOOKUP($A55,Cot_droits!$A$17:$A$68,Cot_droits!$L$17:$L$68))/LOOKUP($A55,Barèmes!$A$65:$A$148,Barèmes!$C$65:$C$148),IF(AND($A55&gt;=$B$5+$B$4,$A55&lt;=INT($B$8)-1+$B$4),LOOKUP($A55,Retraite!$A$7:$A$47,Retraite!$P$7:P$47)/LOOKUP($A55,Barèmes!$A$65:$A$148,Barèmes!$C$65:$C$148),IF($A55=INT($B$8+$B$4),(LOOKUP($A55,Retraite!$A$7:$A$47,Retraite!$P$7:$P$47)/LOOKUP($A55,Barèmes!$A$65:$A$148,Barèmes!$C$65:$C$148))*(1-(INT($B$8)+1-$B$8)),0)))</f>
        <v>-10307.574356237623</v>
      </c>
      <c r="H55" s="131">
        <f>IF($A55&lt;$B$5+$B$4,-(LOOKUP($A55,Cot_droits!$A$17:$A$68,Cot_droits!$I$17:$I$68)+LOOKUP($A55,Cot_droits!$A$17:$A$68,Cot_droits!$J$17:$J$68)+LOOKUP($A55,Cot_droits!$A$17:$A$68,Cot_droits!$N$17:$N$68))/LOOKUP($A55,Barèmes!$A$65:$A$148,Barèmes!$C$65:$C$148),IF(AND($A55&gt;=$B$5+$B$4,$A55&lt;=INT($B$8)-1+$B$4),LOOKUP($A55,Retraite!$A$7:$A$47,Retraite!$M$7:$M$47)/LOOKUP($A55,Barèmes!$A$65:$A$148,Barèmes!$C$65:$C$148),IF($A55=INT($B$8+$B$4),(LOOKUP($A55,Retraite!$A$7:$A$47,Retraite!$M$7:$M$47)/LOOKUP($A55,Barèmes!$A$65:$A$148,Barèmes!$C$65:$C$148))*(1-(INT($B$8)+1-$B$8)),0)))</f>
        <v>-5821.0211463056867</v>
      </c>
      <c r="I55" s="121">
        <f>IF($A55&lt;$B$5+$B$4,-(LOOKUP($A55,Cot_droits!$A$17:$A$68,Cot_droits!$I$17:$I$68)+LOOKUP($A55,Cot_droits!$A$17:$A$68,Cot_droits!$J$17:$J$68)+LOOKUP($A55,Cot_droits!$A$17:$A$68,Cot_droits!$N$17:$N$68))/LOOKUP($A55,Barèmes!$A$65:$A$148,Barèmes!$C$65:$C$148),IF(AND($A55&gt;=$B$5+$B$4,$A55&lt;=INT($B$8)-1+$B$4),LOOKUP($A55,Retraite!$A$7:$A$47,Retraite!$Q$7:Q$47)/LOOKUP($A55,Barèmes!$A$65:$A$148,Barèmes!$C$65:$C$148),IF($A55=INT($B$8+$B$4),(LOOKUP($A55,Retraite!$A$7:$A$47,Retraite!$Q$7:$Q$47)/LOOKUP($A55,Barèmes!$A$65:$A$148,Barèmes!$C$65:$C$148))*(1-(INT($B$8)+1-$B$8)),0)))</f>
        <v>-5821.0211463056867</v>
      </c>
      <c r="J55" s="115"/>
    </row>
    <row r="56" spans="1:10" s="43" customFormat="1" ht="15.75" customHeight="1" x14ac:dyDescent="0.25">
      <c r="A56" s="125">
        <f t="shared" si="0"/>
        <v>2061</v>
      </c>
      <c r="B56" s="131">
        <f>IF($A56&lt;$B$5+$B$4,-LOOKUP($A56,Cot_droits!$A$17:$A$68,Cot_droits!$Q$17:$Q$68)/LOOKUP($A56,Barèmes!$A$65:$A$148,Barèmes!$C$65:$C$148),IF(AND($A56&gt;=$B$5+$B$4,$A56&lt;=INT($B$8)+$B$4-1),LOOKUP($A56,Retraite!$A$7:$A$47,Retraite!$K$7:$K$47)/LOOKUP($A56,Barèmes!$A$65:$A$148,Barèmes!$C$65:$C$148),IF($A56=INT($B$8+$B$4),(LOOKUP($A56,Retraite!$A$7:$A$47,Retraite!$K$7:$K$47)/LOOKUP($A56,Barèmes!$A$65:$A$148,Barèmes!$C$65:$C$148))*(1-(INT($B$8+1)-$B$8)),0)))</f>
        <v>-16338.267244076373</v>
      </c>
      <c r="C56" s="121">
        <f>IF($A56&lt;$B$5+$B$4,-LOOKUP($A56,Cot_droits!$A$17:$A$68,Cot_droits!$Q$17:$Q$68)/LOOKUP($A56,Barèmes!$A$65:$A$148,Barèmes!$C$65:$C$148),IF(AND($A56&gt;=$B$5+$B$4,$A56&lt;=INT($B$8)-1+$B$4),LOOKUP($A56,Retraite!$A$7:$A$47,Retraite!N$7:$N$47)/LOOKUP($A56,Barèmes!$A$65:$A$148,Barèmes!$C$65:$C$148),IF($A56=INT($B$8+$B$4),(LOOKUP($A56,Retraite!$A$7:$A$47,Retraite!$N$7:$N$47)/LOOKUP($A56,Barèmes!$A$65:$A$148,Barèmes!$C$65:$C$148))*(1-(INT($B$8)+1-$B$8)),0)))</f>
        <v>-16338.267244076373</v>
      </c>
      <c r="D56" s="115"/>
      <c r="E56" s="131">
        <f>IF($A56&lt;$B$5+$B$4,-(LOOKUP($A56,Cot_droits!$A$17:$A$68,Cot_droits!$H$17:$H$68)+LOOKUP($A56,Cot_droits!$A$17:$A$68,Cot_droits!$L$17:$L$68))/LOOKUP($A56,Barèmes!$A$65:$A$148,Barèmes!$C$65:$C$148),IF(AND($A56&gt;=$B$5+$B$4,$A56&lt;=INT($B$8)-1+$B$4),LOOKUP($A56,Retraite!$A$7:$A$47,Retraite!$L$7:$L$47)/LOOKUP($A56,Barèmes!$A$65:$A$148,Barèmes!$C$65:$C$148),IF($A56=INT($B$8+$B$4),(LOOKUP($A56,Retraite!$A$7:$A$47,Retraite!$L$7:$L$47)/LOOKUP($A56,Barèmes!$A$65:$A$148,Barèmes!$C$65:$C$148))*(1-(INT($B$8)+1-$B$8)),0)))</f>
        <v>-10441.572822868711</v>
      </c>
      <c r="F56" s="121">
        <f>IF($A56&lt;$B$5+$B$4,-(LOOKUP($A56,Cot_droits!$A$17:$A$68,Cot_droits!$H$17:$H$68)+LOOKUP($A56,Cot_droits!$A$17:$A$68,Cot_droits!$L$17:$L$68))/LOOKUP($A56,Barèmes!$A$65:$A$148,Barèmes!$C$65:$C$148),IF(AND($A56&gt;=$B$5+$B$4,$A56&lt;=INT($B$8)-1+$B$4),LOOKUP($A56,Retraite!$A$7:$A$47,Retraite!$P$7:P$47)/LOOKUP($A56,Barèmes!$A$65:$A$148,Barèmes!$C$65:$C$148),IF($A56=INT($B$8+$B$4),(LOOKUP($A56,Retraite!$A$7:$A$47,Retraite!$P$7:$P$47)/LOOKUP($A56,Barèmes!$A$65:$A$148,Barèmes!$C$65:$C$148))*(1-(INT($B$8)+1-$B$8)),0)))</f>
        <v>-10441.572822868711</v>
      </c>
      <c r="H56" s="131">
        <f>IF($A56&lt;$B$5+$B$4,-(LOOKUP($A56,Cot_droits!$A$17:$A$68,Cot_droits!$I$17:$I$68)+LOOKUP($A56,Cot_droits!$A$17:$A$68,Cot_droits!$J$17:$J$68)+LOOKUP($A56,Cot_droits!$A$17:$A$68,Cot_droits!$N$17:$N$68))/LOOKUP($A56,Barèmes!$A$65:$A$148,Barèmes!$C$65:$C$148),IF(AND($A56&gt;=$B$5+$B$4,$A56&lt;=INT($B$8)-1+$B$4),LOOKUP($A56,Retraite!$A$7:$A$47,Retraite!$M$7:$M$47)/LOOKUP($A56,Barèmes!$A$65:$A$148,Barèmes!$C$65:$C$148),IF($A56=INT($B$8+$B$4),(LOOKUP($A56,Retraite!$A$7:$A$47,Retraite!$M$7:$M$47)/LOOKUP($A56,Barèmes!$A$65:$A$148,Barèmes!$C$65:$C$148))*(1-(INT($B$8)+1-$B$8)),0)))</f>
        <v>-5896.6944212076605</v>
      </c>
      <c r="I56" s="121">
        <f>IF($A56&lt;$B$5+$B$4,-(LOOKUP($A56,Cot_droits!$A$17:$A$68,Cot_droits!$I$17:$I$68)+LOOKUP($A56,Cot_droits!$A$17:$A$68,Cot_droits!$J$17:$J$68)+LOOKUP($A56,Cot_droits!$A$17:$A$68,Cot_droits!$N$17:$N$68))/LOOKUP($A56,Barèmes!$A$65:$A$148,Barèmes!$C$65:$C$148),IF(AND($A56&gt;=$B$5+$B$4,$A56&lt;=INT($B$8)-1+$B$4),LOOKUP($A56,Retraite!$A$7:$A$47,Retraite!$Q$7:Q$47)/LOOKUP($A56,Barèmes!$A$65:$A$148,Barèmes!$C$65:$C$148),IF($A56=INT($B$8+$B$4),(LOOKUP($A56,Retraite!$A$7:$A$47,Retraite!$Q$7:$Q$47)/LOOKUP($A56,Barèmes!$A$65:$A$148,Barèmes!$C$65:$C$148))*(1-(INT($B$8)+1-$B$8)),0)))</f>
        <v>-5896.6944212076605</v>
      </c>
      <c r="J56" s="115"/>
    </row>
    <row r="57" spans="1:10" s="43" customFormat="1" ht="15.75" customHeight="1" x14ac:dyDescent="0.25">
      <c r="A57" s="125">
        <f t="shared" si="0"/>
        <v>2062</v>
      </c>
      <c r="B57" s="131">
        <f>IF($A57&lt;$B$5+$B$4,-LOOKUP($A57,Cot_droits!$A$17:$A$68,Cot_droits!$Q$17:$Q$68)/LOOKUP($A57,Barèmes!$A$65:$A$148,Barèmes!$C$65:$C$148),IF(AND($A57&gt;=$B$5+$B$4,$A57&lt;=INT($B$8)+$B$4-1),LOOKUP($A57,Retraite!$A$7:$A$47,Retraite!$K$7:$K$47)/LOOKUP($A57,Barèmes!$A$65:$A$148,Barèmes!$C$65:$C$148),IF($A57=INT($B$8+$B$4),(LOOKUP($A57,Retraite!$A$7:$A$47,Retraite!$K$7:$K$47)/LOOKUP($A57,Barèmes!$A$65:$A$148,Barèmes!$C$65:$C$148))*(1-(INT($B$8+1)-$B$8)),0)))</f>
        <v>-16550.664718249362</v>
      </c>
      <c r="C57" s="121">
        <f>IF($A57&lt;$B$5+$B$4,-LOOKUP($A57,Cot_droits!$A$17:$A$68,Cot_droits!$Q$17:$Q$68)/LOOKUP($A57,Barèmes!$A$65:$A$148,Barèmes!$C$65:$C$148),IF(AND($A57&gt;=$B$5+$B$4,$A57&lt;=INT($B$8)-1+$B$4),LOOKUP($A57,Retraite!$A$7:$A$47,Retraite!N$7:$N$47)/LOOKUP($A57,Barèmes!$A$65:$A$148,Barèmes!$C$65:$C$148),IF($A57=INT($B$8+$B$4),(LOOKUP($A57,Retraite!$A$7:$A$47,Retraite!$N$7:$N$47)/LOOKUP($A57,Barèmes!$A$65:$A$148,Barèmes!$C$65:$C$148))*(1-(INT($B$8)+1-$B$8)),0)))</f>
        <v>-16550.664718249362</v>
      </c>
      <c r="D57" s="115"/>
      <c r="E57" s="131">
        <f>IF($A57&lt;$B$5+$B$4,-(LOOKUP($A57,Cot_droits!$A$17:$A$68,Cot_droits!$H$17:$H$68)+LOOKUP($A57,Cot_droits!$A$17:$A$68,Cot_droits!$L$17:$L$68))/LOOKUP($A57,Barèmes!$A$65:$A$148,Barèmes!$C$65:$C$148),IF(AND($A57&gt;=$B$5+$B$4,$A57&lt;=INT($B$8)-1+$B$4),LOOKUP($A57,Retraite!$A$7:$A$47,Retraite!$L$7:$L$47)/LOOKUP($A57,Barèmes!$A$65:$A$148,Barèmes!$C$65:$C$148),IF($A57=INT($B$8+$B$4),(LOOKUP($A57,Retraite!$A$7:$A$47,Retraite!$L$7:$L$47)/LOOKUP($A57,Barèmes!$A$65:$A$148,Barèmes!$C$65:$C$148))*(1-(INT($B$8)+1-$B$8)),0)))</f>
        <v>-10577.313269566002</v>
      </c>
      <c r="F57" s="121">
        <f>IF($A57&lt;$B$5+$B$4,-(LOOKUP($A57,Cot_droits!$A$17:$A$68,Cot_droits!$H$17:$H$68)+LOOKUP($A57,Cot_droits!$A$17:$A$68,Cot_droits!$L$17:$L$68))/LOOKUP($A57,Barèmes!$A$65:$A$148,Barèmes!$C$65:$C$148),IF(AND($A57&gt;=$B$5+$B$4,$A57&lt;=INT($B$8)-1+$B$4),LOOKUP($A57,Retraite!$A$7:$A$47,Retraite!$P$7:P$47)/LOOKUP($A57,Barèmes!$A$65:$A$148,Barèmes!$C$65:$C$148),IF($A57=INT($B$8+$B$4),(LOOKUP($A57,Retraite!$A$7:$A$47,Retraite!$P$7:$P$47)/LOOKUP($A57,Barèmes!$A$65:$A$148,Barèmes!$C$65:$C$148))*(1-(INT($B$8)+1-$B$8)),0)))</f>
        <v>-10577.313269566002</v>
      </c>
      <c r="H57" s="131">
        <f>IF($A57&lt;$B$5+$B$4,-(LOOKUP($A57,Cot_droits!$A$17:$A$68,Cot_droits!$I$17:$I$68)+LOOKUP($A57,Cot_droits!$A$17:$A$68,Cot_droits!$J$17:$J$68)+LOOKUP($A57,Cot_droits!$A$17:$A$68,Cot_droits!$N$17:$N$68))/LOOKUP($A57,Barèmes!$A$65:$A$148,Barèmes!$C$65:$C$148),IF(AND($A57&gt;=$B$5+$B$4,$A57&lt;=INT($B$8)-1+$B$4),LOOKUP($A57,Retraite!$A$7:$A$47,Retraite!$M$7:$M$47)/LOOKUP($A57,Barèmes!$A$65:$A$148,Barèmes!$C$65:$C$148),IF($A57=INT($B$8+$B$4),(LOOKUP($A57,Retraite!$A$7:$A$47,Retraite!$M$7:$M$47)/LOOKUP($A57,Barèmes!$A$65:$A$148,Barèmes!$C$65:$C$148))*(1-(INT($B$8)+1-$B$8)),0)))</f>
        <v>-5973.3514486833592</v>
      </c>
      <c r="I57" s="121">
        <f>IF($A57&lt;$B$5+$B$4,-(LOOKUP($A57,Cot_droits!$A$17:$A$68,Cot_droits!$I$17:$I$68)+LOOKUP($A57,Cot_droits!$A$17:$A$68,Cot_droits!$J$17:$J$68)+LOOKUP($A57,Cot_droits!$A$17:$A$68,Cot_droits!$N$17:$N$68))/LOOKUP($A57,Barèmes!$A$65:$A$148,Barèmes!$C$65:$C$148),IF(AND($A57&gt;=$B$5+$B$4,$A57&lt;=INT($B$8)-1+$B$4),LOOKUP($A57,Retraite!$A$7:$A$47,Retraite!$Q$7:Q$47)/LOOKUP($A57,Barèmes!$A$65:$A$148,Barèmes!$C$65:$C$148),IF($A57=INT($B$8+$B$4),(LOOKUP($A57,Retraite!$A$7:$A$47,Retraite!$Q$7:$Q$47)/LOOKUP($A57,Barèmes!$A$65:$A$148,Barèmes!$C$65:$C$148))*(1-(INT($B$8)+1-$B$8)),0)))</f>
        <v>-5973.3514486833592</v>
      </c>
      <c r="J57" s="115"/>
    </row>
    <row r="58" spans="1:10" s="43" customFormat="1" ht="15.75" customHeight="1" x14ac:dyDescent="0.25">
      <c r="A58" s="125">
        <f t="shared" si="0"/>
        <v>2063</v>
      </c>
      <c r="B58" s="131">
        <f>IF($A58&lt;$B$5+$B$4,-LOOKUP($A58,Cot_droits!$A$17:$A$68,Cot_droits!$Q$17:$Q$68)/LOOKUP($A58,Barèmes!$A$65:$A$148,Barèmes!$C$65:$C$148),IF(AND($A58&gt;=$B$5+$B$4,$A58&lt;=INT($B$8)+$B$4-1),LOOKUP($A58,Retraite!$A$7:$A$47,Retraite!$K$7:$K$47)/LOOKUP($A58,Barèmes!$A$65:$A$148,Barèmes!$C$65:$C$148),IF($A58=INT($B$8+$B$4),(LOOKUP($A58,Retraite!$A$7:$A$47,Retraite!$K$7:$K$47)/LOOKUP($A58,Barèmes!$A$65:$A$148,Barèmes!$C$65:$C$148))*(1-(INT($B$8+1)-$B$8)),0)))</f>
        <v>-16765.8233595866</v>
      </c>
      <c r="C58" s="121">
        <f>IF($A58&lt;$B$5+$B$4,-LOOKUP($A58,Cot_droits!$A$17:$A$68,Cot_droits!$Q$17:$Q$68)/LOOKUP($A58,Barèmes!$A$65:$A$148,Barèmes!$C$65:$C$148),IF(AND($A58&gt;=$B$5+$B$4,$A58&lt;=INT($B$8)-1+$B$4),LOOKUP($A58,Retraite!$A$7:$A$47,Retraite!N$7:$N$47)/LOOKUP($A58,Barèmes!$A$65:$A$148,Barèmes!$C$65:$C$148),IF($A58=INT($B$8+$B$4),(LOOKUP($A58,Retraite!$A$7:$A$47,Retraite!$N$7:$N$47)/LOOKUP($A58,Barèmes!$A$65:$A$148,Barèmes!$C$65:$C$148))*(1-(INT($B$8)+1-$B$8)),0)))</f>
        <v>-16765.8233595866</v>
      </c>
      <c r="D58" s="115"/>
      <c r="E58" s="131">
        <f>IF($A58&lt;$B$5+$B$4,-(LOOKUP($A58,Cot_droits!$A$17:$A$68,Cot_droits!$H$17:$H$68)+LOOKUP($A58,Cot_droits!$A$17:$A$68,Cot_droits!$L$17:$L$68))/LOOKUP($A58,Barèmes!$A$65:$A$148,Barèmes!$C$65:$C$148),IF(AND($A58&gt;=$B$5+$B$4,$A58&lt;=INT($B$8)-1+$B$4),LOOKUP($A58,Retraite!$A$7:$A$47,Retraite!$L$7:$L$47)/LOOKUP($A58,Barèmes!$A$65:$A$148,Barèmes!$C$65:$C$148),IF($A58=INT($B$8+$B$4),(LOOKUP($A58,Retraite!$A$7:$A$47,Retraite!$L$7:$L$47)/LOOKUP($A58,Barèmes!$A$65:$A$148,Barèmes!$C$65:$C$148))*(1-(INT($B$8)+1-$B$8)),0)))</f>
        <v>-10714.818342070361</v>
      </c>
      <c r="F58" s="121">
        <f>IF($A58&lt;$B$5+$B$4,-(LOOKUP($A58,Cot_droits!$A$17:$A$68,Cot_droits!$H$17:$H$68)+LOOKUP($A58,Cot_droits!$A$17:$A$68,Cot_droits!$L$17:$L$68))/LOOKUP($A58,Barèmes!$A$65:$A$148,Barèmes!$C$65:$C$148),IF(AND($A58&gt;=$B$5+$B$4,$A58&lt;=INT($B$8)-1+$B$4),LOOKUP($A58,Retraite!$A$7:$A$47,Retraite!$P$7:P$47)/LOOKUP($A58,Barèmes!$A$65:$A$148,Barèmes!$C$65:$C$148),IF($A58=INT($B$8+$B$4),(LOOKUP($A58,Retraite!$A$7:$A$47,Retraite!$P$7:$P$47)/LOOKUP($A58,Barèmes!$A$65:$A$148,Barèmes!$C$65:$C$148))*(1-(INT($B$8)+1-$B$8)),0)))</f>
        <v>-10714.818342070361</v>
      </c>
      <c r="H58" s="131">
        <f>IF($A58&lt;$B$5+$B$4,-(LOOKUP($A58,Cot_droits!$A$17:$A$68,Cot_droits!$I$17:$I$68)+LOOKUP($A58,Cot_droits!$A$17:$A$68,Cot_droits!$J$17:$J$68)+LOOKUP($A58,Cot_droits!$A$17:$A$68,Cot_droits!$N$17:$N$68))/LOOKUP($A58,Barèmes!$A$65:$A$148,Barèmes!$C$65:$C$148),IF(AND($A58&gt;=$B$5+$B$4,$A58&lt;=INT($B$8)-1+$B$4),LOOKUP($A58,Retraite!$A$7:$A$47,Retraite!$M$7:$M$47)/LOOKUP($A58,Barèmes!$A$65:$A$148,Barèmes!$C$65:$C$148),IF($A58=INT($B$8+$B$4),(LOOKUP($A58,Retraite!$A$7:$A$47,Retraite!$M$7:$M$47)/LOOKUP($A58,Barèmes!$A$65:$A$148,Barèmes!$C$65:$C$148))*(1-(INT($B$8)+1-$B$8)),0)))</f>
        <v>-6051.0050175162414</v>
      </c>
      <c r="I58" s="121">
        <f>IF($A58&lt;$B$5+$B$4,-(LOOKUP($A58,Cot_droits!$A$17:$A$68,Cot_droits!$I$17:$I$68)+LOOKUP($A58,Cot_droits!$A$17:$A$68,Cot_droits!$J$17:$J$68)+LOOKUP($A58,Cot_droits!$A$17:$A$68,Cot_droits!$N$17:$N$68))/LOOKUP($A58,Barèmes!$A$65:$A$148,Barèmes!$C$65:$C$148),IF(AND($A58&gt;=$B$5+$B$4,$A58&lt;=INT($B$8)-1+$B$4),LOOKUP($A58,Retraite!$A$7:$A$47,Retraite!$Q$7:Q$47)/LOOKUP($A58,Barèmes!$A$65:$A$148,Barèmes!$C$65:$C$148),IF($A58=INT($B$8+$B$4),(LOOKUP($A58,Retraite!$A$7:$A$47,Retraite!$Q$7:$Q$47)/LOOKUP($A58,Barèmes!$A$65:$A$148,Barèmes!$C$65:$C$148))*(1-(INT($B$8)+1-$B$8)),0)))</f>
        <v>-6051.0050175162414</v>
      </c>
      <c r="J58" s="115"/>
    </row>
    <row r="59" spans="1:10" s="43" customFormat="1" ht="15.75" customHeight="1" x14ac:dyDescent="0.25">
      <c r="A59" s="125">
        <f t="shared" si="0"/>
        <v>2064</v>
      </c>
      <c r="B59" s="131">
        <f ca="1">IF($A59&lt;$B$5+$B$4,-LOOKUP($A59,Cot_droits!$A$17:$A$68,Cot_droits!$Q$17:$Q$68)/LOOKUP($A59,Barèmes!$A$65:$A$148,Barèmes!$C$65:$C$148),IF(AND($A59&gt;=$B$5+$B$4,$A59&lt;=INT($B$8)+$B$4-1),LOOKUP($A59,Retraite!$A$7:$A$47,Retraite!$K$7:$K$47)/LOOKUP($A59,Barèmes!$A$65:$A$148,Barèmes!$C$65:$C$148),IF($A59=INT($B$8+$B$4),(LOOKUP($A59,Retraite!$A$7:$A$47,Retraite!$K$7:$K$47)/LOOKUP($A59,Barèmes!$A$65:$A$148,Barèmes!$C$65:$C$148))*(1-(INT($B$8+1)-$B$8)),0)))</f>
        <v>33014.844678434129</v>
      </c>
      <c r="C59" s="121">
        <f ca="1">IF($A59&lt;$B$5+$B$4,-LOOKUP($A59,Cot_droits!$A$17:$A$68,Cot_droits!$Q$17:$Q$68)/LOOKUP($A59,Barèmes!$A$65:$A$148,Barèmes!$C$65:$C$148),IF(AND($A59&gt;=$B$5+$B$4,$A59&lt;=INT($B$8)-1+$B$4),LOOKUP($A59,Retraite!$A$7:$A$47,Retraite!N$7:$N$47)/LOOKUP($A59,Barèmes!$A$65:$A$148,Barèmes!$C$65:$C$148),IF($A59=INT($B$8+$B$4),(LOOKUP($A59,Retraite!$A$7:$A$47,Retraite!$N$7:$N$47)/LOOKUP($A59,Barèmes!$A$65:$A$148,Barèmes!$C$65:$C$148))*(1-(INT($B$8)+1-$B$8)),0)))</f>
        <v>29941.40135942417</v>
      </c>
      <c r="D59" s="115"/>
      <c r="E59" s="131">
        <f>IF($A59&lt;$B$5+$B$4,-(LOOKUP($A59,Cot_droits!$A$17:$A$68,Cot_droits!$H$17:$H$68)+LOOKUP($A59,Cot_droits!$A$17:$A$68,Cot_droits!$L$17:$L$68))/LOOKUP($A59,Barèmes!$A$65:$A$148,Barèmes!$C$65:$C$148),IF(AND($A59&gt;=$B$5+$B$4,$A59&lt;=INT($B$8)-1+$B$4),LOOKUP($A59,Retraite!$A$7:$A$47,Retraite!$L$7:$L$47)/LOOKUP($A59,Barèmes!$A$65:$A$148,Barèmes!$C$65:$C$148),IF($A59=INT($B$8+$B$4),(LOOKUP($A59,Retraite!$A$7:$A$47,Retraite!$L$7:$L$47)/LOOKUP($A59,Barèmes!$A$65:$A$148,Barèmes!$C$65:$C$148))*(1-(INT($B$8)+1-$B$8)),0)))</f>
        <v>26105.599351188557</v>
      </c>
      <c r="F59" s="121">
        <f ca="1">IF($A59&lt;$B$5+$B$4,-(LOOKUP($A59,Cot_droits!$A$17:$A$68,Cot_droits!$H$17:$H$68)+LOOKUP($A59,Cot_droits!$A$17:$A$68,Cot_droits!$L$17:$L$68))/LOOKUP($A59,Barèmes!$A$65:$A$148,Barèmes!$C$65:$C$148),IF(AND($A59&gt;=$B$5+$B$4,$A59&lt;=INT($B$8)-1+$B$4),LOOKUP($A59,Retraite!$A$7:$A$47,Retraite!$P$7:P$47)/LOOKUP($A59,Barèmes!$A$65:$A$148,Barèmes!$C$65:$C$148),IF($A59=INT($B$8+$B$4),(LOOKUP($A59,Retraite!$A$7:$A$47,Retraite!$P$7:$P$47)/LOOKUP($A59,Barèmes!$A$65:$A$148,Barèmes!$C$65:$C$148))*(1-(INT($B$8)+1-$B$8)),0)))</f>
        <v>23729.989810230403</v>
      </c>
      <c r="H59" s="131">
        <f ca="1">IF($A59&lt;$B$5+$B$4,-(LOOKUP($A59,Cot_droits!$A$17:$A$68,Cot_droits!$I$17:$I$68)+LOOKUP($A59,Cot_droits!$A$17:$A$68,Cot_droits!$J$17:$J$68)+LOOKUP($A59,Cot_droits!$A$17:$A$68,Cot_droits!$N$17:$N$68))/LOOKUP($A59,Barèmes!$A$65:$A$148,Barèmes!$C$65:$C$148),IF(AND($A59&gt;=$B$5+$B$4,$A59&lt;=INT($B$8)-1+$B$4),LOOKUP($A59,Retraite!$A$7:$A$47,Retraite!$M$7:$M$47)/LOOKUP($A59,Barèmes!$A$65:$A$148,Barèmes!$C$65:$C$148),IF($A59=INT($B$8+$B$4),(LOOKUP($A59,Retraite!$A$7:$A$47,Retraite!$M$7:$M$47)/LOOKUP($A59,Barèmes!$A$65:$A$148,Barèmes!$C$65:$C$148))*(1-(INT($B$8)+1-$B$8)),0)))</f>
        <v>6909.2453272455723</v>
      </c>
      <c r="I59" s="121">
        <f ca="1">IF($A59&lt;$B$5+$B$4,-(LOOKUP($A59,Cot_droits!$A$17:$A$68,Cot_droits!$I$17:$I$68)+LOOKUP($A59,Cot_droits!$A$17:$A$68,Cot_droits!$J$17:$J$68)+LOOKUP($A59,Cot_droits!$A$17:$A$68,Cot_droits!$N$17:$N$68))/LOOKUP($A59,Barèmes!$A$65:$A$148,Barèmes!$C$65:$C$148),IF(AND($A59&gt;=$B$5+$B$4,$A59&lt;=INT($B$8)-1+$B$4),LOOKUP($A59,Retraite!$A$7:$A$47,Retraite!$Q$7:Q$47)/LOOKUP($A59,Barèmes!$A$65:$A$148,Barèmes!$C$65:$C$148),IF($A59=INT($B$8+$B$4),(LOOKUP($A59,Retraite!$A$7:$A$47,Retraite!$Q$7:$Q$47)/LOOKUP($A59,Barèmes!$A$65:$A$148,Barèmes!$C$65:$C$148))*(1-(INT($B$8)+1-$B$8)),0)))</f>
        <v>6211.41154919377</v>
      </c>
      <c r="J59" s="115"/>
    </row>
    <row r="60" spans="1:10" s="43" customFormat="1" ht="15.75" customHeight="1" x14ac:dyDescent="0.25">
      <c r="A60" s="125">
        <f t="shared" si="0"/>
        <v>2065</v>
      </c>
      <c r="B60" s="131">
        <f ca="1">IF($A60&lt;$B$5+$B$4,-LOOKUP($A60,Cot_droits!$A$17:$A$68,Cot_droits!$Q$17:$Q$68)/LOOKUP($A60,Barèmes!$A$65:$A$148,Barèmes!$C$65:$C$148),IF(AND($A60&gt;=$B$5+$B$4,$A60&lt;=INT($B$8)+$B$4-1),LOOKUP($A60,Retraite!$A$7:$A$47,Retraite!$K$7:$K$47)/LOOKUP($A60,Barèmes!$A$65:$A$148,Barèmes!$C$65:$C$148),IF($A60=INT($B$8+$B$4),(LOOKUP($A60,Retraite!$A$7:$A$47,Retraite!$K$7:$K$47)/LOOKUP($A60,Barèmes!$A$65:$A$148,Barèmes!$C$65:$C$148))*(1-(INT($B$8+1)-$B$8)),0)))</f>
        <v>33026.067944716859</v>
      </c>
      <c r="C60" s="121">
        <f ca="1">IF($A60&lt;$B$5+$B$4,-LOOKUP($A60,Cot_droits!$A$17:$A$68,Cot_droits!$Q$17:$Q$68)/LOOKUP($A60,Barèmes!$A$65:$A$148,Barèmes!$C$65:$C$148),IF(AND($A60&gt;=$B$5+$B$4,$A60&lt;=INT($B$8)-1+$B$4),LOOKUP($A60,Retraite!$A$7:$A$47,Retraite!N$7:$N$47)/LOOKUP($A60,Barèmes!$A$65:$A$148,Barèmes!$C$65:$C$148),IF($A60=INT($B$8+$B$4),(LOOKUP($A60,Retraite!$A$7:$A$47,Retraite!$N$7:$N$47)/LOOKUP($A60,Barèmes!$A$65:$A$148,Barèmes!$C$65:$C$148))*(1-(INT($B$8)+1-$B$8)),0)))</f>
        <v>29951.491075812341</v>
      </c>
      <c r="D60" s="115"/>
      <c r="E60" s="131">
        <f>IF($A60&lt;$B$5+$B$4,-(LOOKUP($A60,Cot_droits!$A$17:$A$68,Cot_droits!$H$17:$H$68)+LOOKUP($A60,Cot_droits!$A$17:$A$68,Cot_droits!$L$17:$L$68))/LOOKUP($A60,Barèmes!$A$65:$A$148,Barèmes!$C$65:$C$148),IF(AND($A60&gt;=$B$5+$B$4,$A60&lt;=INT($B$8)-1+$B$4),LOOKUP($A60,Retraite!$A$7:$A$47,Retraite!$L$7:$L$47)/LOOKUP($A60,Barèmes!$A$65:$A$148,Barèmes!$C$65:$C$148),IF($A60=INT($B$8+$B$4),(LOOKUP($A60,Retraite!$A$7:$A$47,Retraite!$L$7:$L$47)/LOOKUP($A60,Barèmes!$A$65:$A$148,Barèmes!$C$65:$C$148))*(1-(INT($B$8)+1-$B$8)),0)))</f>
        <v>26105.599351188557</v>
      </c>
      <c r="F60" s="121">
        <f ca="1">IF($A60&lt;$B$5+$B$4,-(LOOKUP($A60,Cot_droits!$A$17:$A$68,Cot_droits!$H$17:$H$68)+LOOKUP($A60,Cot_droits!$A$17:$A$68,Cot_droits!$L$17:$L$68))/LOOKUP($A60,Barèmes!$A$65:$A$148,Barèmes!$C$65:$C$148),IF(AND($A60&gt;=$B$5+$B$4,$A60&lt;=INT($B$8)-1+$B$4),LOOKUP($A60,Retraite!$A$7:$A$47,Retraite!$P$7:P$47)/LOOKUP($A60,Barèmes!$A$65:$A$148,Barèmes!$C$65:$C$148),IF($A60=INT($B$8+$B$4),(LOOKUP($A60,Retraite!$A$7:$A$47,Retraite!$P$7:$P$47)/LOOKUP($A60,Barèmes!$A$65:$A$148,Barèmes!$C$65:$C$148))*(1-(INT($B$8)+1-$B$8)),0)))</f>
        <v>23729.989810230396</v>
      </c>
      <c r="H60" s="131">
        <f ca="1">IF($A60&lt;$B$5+$B$4,-(LOOKUP($A60,Cot_droits!$A$17:$A$68,Cot_droits!$I$17:$I$68)+LOOKUP($A60,Cot_droits!$A$17:$A$68,Cot_droits!$J$17:$J$68)+LOOKUP($A60,Cot_droits!$A$17:$A$68,Cot_droits!$N$17:$N$68))/LOOKUP($A60,Barèmes!$A$65:$A$148,Barèmes!$C$65:$C$148),IF(AND($A60&gt;=$B$5+$B$4,$A60&lt;=INT($B$8)-1+$B$4),LOOKUP($A60,Retraite!$A$7:$A$47,Retraite!$M$7:$M$47)/LOOKUP($A60,Barèmes!$A$65:$A$148,Barèmes!$C$65:$C$148),IF($A60=INT($B$8+$B$4),(LOOKUP($A60,Retraite!$A$7:$A$47,Retraite!$M$7:$M$47)/LOOKUP($A60,Barèmes!$A$65:$A$148,Barèmes!$C$65:$C$148))*(1-(INT($B$8)+1-$B$8)),0)))</f>
        <v>6920.4685935283023</v>
      </c>
      <c r="I60" s="121">
        <f ca="1">IF($A60&lt;$B$5+$B$4,-(LOOKUP($A60,Cot_droits!$A$17:$A$68,Cot_droits!$I$17:$I$68)+LOOKUP($A60,Cot_droits!$A$17:$A$68,Cot_droits!$J$17:$J$68)+LOOKUP($A60,Cot_droits!$A$17:$A$68,Cot_droits!$N$17:$N$68))/LOOKUP($A60,Barèmes!$A$65:$A$148,Barèmes!$C$65:$C$148),IF(AND($A60&gt;=$B$5+$B$4,$A60&lt;=INT($B$8)-1+$B$4),LOOKUP($A60,Retraite!$A$7:$A$47,Retraite!$Q$7:Q$47)/LOOKUP($A60,Barèmes!$A$65:$A$148,Barèmes!$C$65:$C$148),IF($A60=INT($B$8+$B$4),(LOOKUP($A60,Retraite!$A$7:$A$47,Retraite!$Q$7:$Q$47)/LOOKUP($A60,Barèmes!$A$65:$A$148,Barèmes!$C$65:$C$148))*(1-(INT($B$8)+1-$B$8)),0)))</f>
        <v>6221.5012655819437</v>
      </c>
      <c r="J60" s="115"/>
    </row>
    <row r="61" spans="1:10" s="43" customFormat="1" ht="15.75" customHeight="1" x14ac:dyDescent="0.25">
      <c r="A61" s="125">
        <f t="shared" si="0"/>
        <v>2066</v>
      </c>
      <c r="B61" s="131">
        <f ca="1">IF($A61&lt;$B$5+$B$4,-LOOKUP($A61,Cot_droits!$A$17:$A$68,Cot_droits!$Q$17:$Q$68)/LOOKUP($A61,Barèmes!$A$65:$A$148,Barèmes!$C$65:$C$148),IF(AND($A61&gt;=$B$5+$B$4,$A61&lt;=INT($B$8)+$B$4-1),LOOKUP($A61,Retraite!$A$7:$A$47,Retraite!$K$7:$K$47)/LOOKUP($A61,Barèmes!$A$65:$A$148,Barèmes!$C$65:$C$148),IF($A61=INT($B$8+$B$4),(LOOKUP($A61,Retraite!$A$7:$A$47,Retraite!$K$7:$K$47)/LOOKUP($A61,Barèmes!$A$65:$A$148,Barèmes!$C$65:$C$148))*(1-(INT($B$8+1)-$B$8)),0)))</f>
        <v>33037.291822351741</v>
      </c>
      <c r="C61" s="121">
        <f ca="1">IF($A61&lt;$B$5+$B$4,-LOOKUP($A61,Cot_droits!$A$17:$A$68,Cot_droits!$Q$17:$Q$68)/LOOKUP($A61,Barèmes!$A$65:$A$148,Barèmes!$C$65:$C$148),IF(AND($A61&gt;=$B$5+$B$4,$A61&lt;=INT($B$8)-1+$B$4),LOOKUP($A61,Retraite!$A$7:$A$47,Retraite!N$7:$N$47)/LOOKUP($A61,Barèmes!$A$65:$A$148,Barèmes!$C$65:$C$148),IF($A61=INT($B$8+$B$4),(LOOKUP($A61,Retraite!$A$7:$A$47,Retraite!$N$7:$N$47)/LOOKUP($A61,Barèmes!$A$65:$A$148,Barèmes!$C$65:$C$148))*(1-(INT($B$8)+1-$B$8)),0)))</f>
        <v>29961.581341806097</v>
      </c>
      <c r="D61" s="115"/>
      <c r="E61" s="131">
        <f>IF($A61&lt;$B$5+$B$4,-(LOOKUP($A61,Cot_droits!$A$17:$A$68,Cot_droits!$H$17:$H$68)+LOOKUP($A61,Cot_droits!$A$17:$A$68,Cot_droits!$L$17:$L$68))/LOOKUP($A61,Barèmes!$A$65:$A$148,Barèmes!$C$65:$C$148),IF(AND($A61&gt;=$B$5+$B$4,$A61&lt;=INT($B$8)-1+$B$4),LOOKUP($A61,Retraite!$A$7:$A$47,Retraite!$L$7:$L$47)/LOOKUP($A61,Barèmes!$A$65:$A$148,Barèmes!$C$65:$C$148),IF($A61=INT($B$8+$B$4),(LOOKUP($A61,Retraite!$A$7:$A$47,Retraite!$L$7:$L$47)/LOOKUP($A61,Barèmes!$A$65:$A$148,Barèmes!$C$65:$C$148))*(1-(INT($B$8)+1-$B$8)),0)))</f>
        <v>26105.599351188557</v>
      </c>
      <c r="F61" s="121">
        <f ca="1">IF($A61&lt;$B$5+$B$4,-(LOOKUP($A61,Cot_droits!$A$17:$A$68,Cot_droits!$H$17:$H$68)+LOOKUP($A61,Cot_droits!$A$17:$A$68,Cot_droits!$L$17:$L$68))/LOOKUP($A61,Barèmes!$A$65:$A$148,Barèmes!$C$65:$C$148),IF(AND($A61&gt;=$B$5+$B$4,$A61&lt;=INT($B$8)-1+$B$4),LOOKUP($A61,Retraite!$A$7:$A$47,Retraite!$P$7:P$47)/LOOKUP($A61,Barèmes!$A$65:$A$148,Barèmes!$C$65:$C$148),IF($A61=INT($B$8+$B$4),(LOOKUP($A61,Retraite!$A$7:$A$47,Retraite!$P$7:$P$47)/LOOKUP($A61,Barèmes!$A$65:$A$148,Barèmes!$C$65:$C$148))*(1-(INT($B$8)+1-$B$8)),0)))</f>
        <v>23729.9898102304</v>
      </c>
      <c r="H61" s="131">
        <f ca="1">IF($A61&lt;$B$5+$B$4,-(LOOKUP($A61,Cot_droits!$A$17:$A$68,Cot_droits!$I$17:$I$68)+LOOKUP($A61,Cot_droits!$A$17:$A$68,Cot_droits!$J$17:$J$68)+LOOKUP($A61,Cot_droits!$A$17:$A$68,Cot_droits!$N$17:$N$68))/LOOKUP($A61,Barèmes!$A$65:$A$148,Barèmes!$C$65:$C$148),IF(AND($A61&gt;=$B$5+$B$4,$A61&lt;=INT($B$8)-1+$B$4),LOOKUP($A61,Retraite!$A$7:$A$47,Retraite!$M$7:$M$47)/LOOKUP($A61,Barèmes!$A$65:$A$148,Barèmes!$C$65:$C$148),IF($A61=INT($B$8+$B$4),(LOOKUP($A61,Retraite!$A$7:$A$47,Retraite!$M$7:$M$47)/LOOKUP($A61,Barèmes!$A$65:$A$148,Barèmes!$C$65:$C$148))*(1-(INT($B$8)+1-$B$8)),0)))</f>
        <v>6931.6924711631827</v>
      </c>
      <c r="I61" s="121">
        <f ca="1">IF($A61&lt;$B$5+$B$4,-(LOOKUP($A61,Cot_droits!$A$17:$A$68,Cot_droits!$I$17:$I$68)+LOOKUP($A61,Cot_droits!$A$17:$A$68,Cot_droits!$J$17:$J$68)+LOOKUP($A61,Cot_droits!$A$17:$A$68,Cot_droits!$N$17:$N$68))/LOOKUP($A61,Barèmes!$A$65:$A$148,Barèmes!$C$65:$C$148),IF(AND($A61&gt;=$B$5+$B$4,$A61&lt;=INT($B$8)-1+$B$4),LOOKUP($A61,Retraite!$A$7:$A$47,Retraite!$Q$7:Q$47)/LOOKUP($A61,Barèmes!$A$65:$A$148,Barèmes!$C$65:$C$148),IF($A61=INT($B$8+$B$4),(LOOKUP($A61,Retraite!$A$7:$A$47,Retraite!$Q$7:$Q$47)/LOOKUP($A61,Barèmes!$A$65:$A$148,Barèmes!$C$65:$C$148))*(1-(INT($B$8)+1-$B$8)),0)))</f>
        <v>6231.5915315757011</v>
      </c>
      <c r="J61" s="115"/>
    </row>
    <row r="62" spans="1:10" s="43" customFormat="1" ht="15.75" customHeight="1" x14ac:dyDescent="0.25">
      <c r="A62" s="125">
        <f t="shared" si="0"/>
        <v>2067</v>
      </c>
      <c r="B62" s="131">
        <f ca="1">IF($A62&lt;$B$5+$B$4,-LOOKUP($A62,Cot_droits!$A$17:$A$68,Cot_droits!$Q$17:$Q$68)/LOOKUP($A62,Barèmes!$A$65:$A$148,Barèmes!$C$65:$C$148),IF(AND($A62&gt;=$B$5+$B$4,$A62&lt;=INT($B$8)+$B$4-1),LOOKUP($A62,Retraite!$A$7:$A$47,Retraite!$K$7:$K$47)/LOOKUP($A62,Barèmes!$A$65:$A$148,Barèmes!$C$65:$C$148),IF($A62=INT($B$8+$B$4),(LOOKUP($A62,Retraite!$A$7:$A$47,Retraite!$K$7:$K$47)/LOOKUP($A62,Barèmes!$A$65:$A$148,Barèmes!$C$65:$C$148))*(1-(INT($B$8+1)-$B$8)),0)))</f>
        <v>33820.075408265315</v>
      </c>
      <c r="C62" s="121">
        <f ca="1">IF($A62&lt;$B$5+$B$4,-LOOKUP($A62,Cot_droits!$A$17:$A$68,Cot_droits!$Q$17:$Q$68)/LOOKUP($A62,Barèmes!$A$65:$A$148,Barèmes!$C$65:$C$148),IF(AND($A62&gt;=$B$5+$B$4,$A62&lt;=INT($B$8)-1+$B$4),LOOKUP($A62,Retraite!$A$7:$A$47,Retraite!N$7:$N$47)/LOOKUP($A62,Barèmes!$A$65:$A$148,Barèmes!$C$65:$C$148),IF($A62=INT($B$8+$B$4),(LOOKUP($A62,Retraite!$A$7:$A$47,Retraite!$N$7:$N$47)/LOOKUP($A62,Barèmes!$A$65:$A$148,Barèmes!$C$65:$C$148))*(1-(INT($B$8)+1-$B$8)),0)))</f>
        <v>30665.303785542405</v>
      </c>
      <c r="D62" s="115"/>
      <c r="E62" s="131">
        <f>IF($A62&lt;$B$5+$B$4,-(LOOKUP($A62,Cot_droits!$A$17:$A$68,Cot_droits!$H$17:$H$68)+LOOKUP($A62,Cot_droits!$A$17:$A$68,Cot_droits!$L$17:$L$68))/LOOKUP($A62,Barèmes!$A$65:$A$148,Barèmes!$C$65:$C$148),IF(AND($A62&gt;=$B$5+$B$4,$A62&lt;=INT($B$8)-1+$B$4),LOOKUP($A62,Retraite!$A$7:$A$47,Retraite!$L$7:$L$47)/LOOKUP($A62,Barèmes!$A$65:$A$148,Barèmes!$C$65:$C$148),IF($A62=INT($B$8+$B$4),(LOOKUP($A62,Retraite!$A$7:$A$47,Retraite!$L$7:$L$47)/LOOKUP($A62,Barèmes!$A$65:$A$148,Barèmes!$C$65:$C$148))*(1-(INT($B$8)+1-$B$8)),0)))</f>
        <v>26105.599351188561</v>
      </c>
      <c r="F62" s="121">
        <f ca="1">IF($A62&lt;$B$5+$B$4,-(LOOKUP($A62,Cot_droits!$A$17:$A$68,Cot_droits!$H$17:$H$68)+LOOKUP($A62,Cot_droits!$A$17:$A$68,Cot_droits!$L$17:$L$68))/LOOKUP($A62,Barèmes!$A$65:$A$148,Barèmes!$C$65:$C$148),IF(AND($A62&gt;=$B$5+$B$4,$A62&lt;=INT($B$8)-1+$B$4),LOOKUP($A62,Retraite!$A$7:$A$47,Retraite!$P$7:P$47)/LOOKUP($A62,Barèmes!$A$65:$A$148,Barèmes!$C$65:$C$148),IF($A62=INT($B$8+$B$4),(LOOKUP($A62,Retraite!$A$7:$A$47,Retraite!$P$7:$P$47)/LOOKUP($A62,Barèmes!$A$65:$A$148,Barèmes!$C$65:$C$148))*(1-(INT($B$8)+1-$B$8)),0)))</f>
        <v>23729.989810230403</v>
      </c>
      <c r="H62" s="131">
        <f ca="1">IF($A62&lt;$B$5+$B$4,-(LOOKUP($A62,Cot_droits!$A$17:$A$68,Cot_droits!$I$17:$I$68)+LOOKUP($A62,Cot_droits!$A$17:$A$68,Cot_droits!$J$17:$J$68)+LOOKUP($A62,Cot_droits!$A$17:$A$68,Cot_droits!$N$17:$N$68))/LOOKUP($A62,Barèmes!$A$65:$A$148,Barèmes!$C$65:$C$148),IF(AND($A62&gt;=$B$5+$B$4,$A62&lt;=INT($B$8)-1+$B$4),LOOKUP($A62,Retraite!$A$7:$A$47,Retraite!$M$7:$M$47)/LOOKUP($A62,Barèmes!$A$65:$A$148,Barèmes!$C$65:$C$148),IF($A62=INT($B$8+$B$4),(LOOKUP($A62,Retraite!$A$7:$A$47,Retraite!$M$7:$M$47)/LOOKUP($A62,Barèmes!$A$65:$A$148,Barèmes!$C$65:$C$148))*(1-(INT($B$8)+1-$B$8)),0)))</f>
        <v>7714.4760570767558</v>
      </c>
      <c r="I62" s="121">
        <f ca="1">IF($A62&lt;$B$5+$B$4,-(LOOKUP($A62,Cot_droits!$A$17:$A$68,Cot_droits!$I$17:$I$68)+LOOKUP($A62,Cot_droits!$A$17:$A$68,Cot_droits!$J$17:$J$68)+LOOKUP($A62,Cot_droits!$A$17:$A$68,Cot_droits!$N$17:$N$68))/LOOKUP($A62,Barèmes!$A$65:$A$148,Barèmes!$C$65:$C$148),IF(AND($A62&gt;=$B$5+$B$4,$A62&lt;=INT($B$8)-1+$B$4),LOOKUP($A62,Retraite!$A$7:$A$47,Retraite!$Q$7:Q$47)/LOOKUP($A62,Barèmes!$A$65:$A$148,Barèmes!$C$65:$C$148),IF($A62=INT($B$8+$B$4),(LOOKUP($A62,Retraite!$A$7:$A$47,Retraite!$Q$7:$Q$47)/LOOKUP($A62,Barèmes!$A$65:$A$148,Barèmes!$C$65:$C$148))*(1-(INT($B$8)+1-$B$8)),0)))</f>
        <v>6935.313975312004</v>
      </c>
      <c r="J62" s="115"/>
    </row>
    <row r="63" spans="1:10" s="43" customFormat="1" ht="15.75" customHeight="1" x14ac:dyDescent="0.25">
      <c r="A63" s="125">
        <f t="shared" si="0"/>
        <v>2068</v>
      </c>
      <c r="B63" s="131">
        <f ca="1">IF($A63&lt;$B$5+$B$4,-LOOKUP($A63,Cot_droits!$A$17:$A$68,Cot_droits!$Q$17:$Q$68)/LOOKUP($A63,Barèmes!$A$65:$A$148,Barèmes!$C$65:$C$148),IF(AND($A63&gt;=$B$5+$B$4,$A63&lt;=INT($B$8)+$B$4-1),LOOKUP($A63,Retraite!$A$7:$A$47,Retraite!$K$7:$K$47)/LOOKUP($A63,Barèmes!$A$65:$A$148,Barèmes!$C$65:$C$148),IF($A63=INT($B$8+$B$4),(LOOKUP($A63,Retraite!$A$7:$A$47,Retraite!$K$7:$K$47)/LOOKUP($A63,Barèmes!$A$65:$A$148,Barèmes!$C$65:$C$148))*(1-(INT($B$8+1)-$B$8)),0)))</f>
        <v>33832.567841675496</v>
      </c>
      <c r="C63" s="121">
        <f ca="1">IF($A63&lt;$B$5+$B$4,-LOOKUP($A63,Cot_droits!$A$17:$A$68,Cot_droits!$Q$17:$Q$68)/LOOKUP($A63,Barèmes!$A$65:$A$148,Barèmes!$C$65:$C$148),IF(AND($A63&gt;=$B$5+$B$4,$A63&lt;=INT($B$8)-1+$B$4),LOOKUP($A63,Retraite!$A$7:$A$47,Retraite!N$7:$N$47)/LOOKUP($A63,Barèmes!$A$65:$A$148,Barèmes!$C$65:$C$148),IF($A63=INT($B$8+$B$4),(LOOKUP($A63,Retraite!$A$7:$A$47,Retraite!$N$7:$N$47)/LOOKUP($A63,Barèmes!$A$65:$A$148,Barèmes!$C$65:$C$148))*(1-(INT($B$8)+1-$B$8)),0)))</f>
        <v>30676.534483178155</v>
      </c>
      <c r="D63" s="115"/>
      <c r="E63" s="131">
        <f>IF($A63&lt;$B$5+$B$4,-(LOOKUP($A63,Cot_droits!$A$17:$A$68,Cot_droits!$H$17:$H$68)+LOOKUP($A63,Cot_droits!$A$17:$A$68,Cot_droits!$L$17:$L$68))/LOOKUP($A63,Barèmes!$A$65:$A$148,Barèmes!$C$65:$C$148),IF(AND($A63&gt;=$B$5+$B$4,$A63&lt;=INT($B$8)-1+$B$4),LOOKUP($A63,Retraite!$A$7:$A$47,Retraite!$L$7:$L$47)/LOOKUP($A63,Barèmes!$A$65:$A$148,Barèmes!$C$65:$C$148),IF($A63=INT($B$8+$B$4),(LOOKUP($A63,Retraite!$A$7:$A$47,Retraite!$L$7:$L$47)/LOOKUP($A63,Barèmes!$A$65:$A$148,Barèmes!$C$65:$C$148))*(1-(INT($B$8)+1-$B$8)),0)))</f>
        <v>26105.599351188557</v>
      </c>
      <c r="F63" s="121">
        <f ca="1">IF($A63&lt;$B$5+$B$4,-(LOOKUP($A63,Cot_droits!$A$17:$A$68,Cot_droits!$H$17:$H$68)+LOOKUP($A63,Cot_droits!$A$17:$A$68,Cot_droits!$L$17:$L$68))/LOOKUP($A63,Barèmes!$A$65:$A$148,Barèmes!$C$65:$C$148),IF(AND($A63&gt;=$B$5+$B$4,$A63&lt;=INT($B$8)-1+$B$4),LOOKUP($A63,Retraite!$A$7:$A$47,Retraite!$P$7:P$47)/LOOKUP($A63,Barèmes!$A$65:$A$148,Barèmes!$C$65:$C$148),IF($A63=INT($B$8+$B$4),(LOOKUP($A63,Retraite!$A$7:$A$47,Retraite!$P$7:$P$47)/LOOKUP($A63,Barèmes!$A$65:$A$148,Barèmes!$C$65:$C$148))*(1-(INT($B$8)+1-$B$8)),0)))</f>
        <v>23729.9898102304</v>
      </c>
      <c r="H63" s="131">
        <f ca="1">IF($A63&lt;$B$5+$B$4,-(LOOKUP($A63,Cot_droits!$A$17:$A$68,Cot_droits!$I$17:$I$68)+LOOKUP($A63,Cot_droits!$A$17:$A$68,Cot_droits!$J$17:$J$68)+LOOKUP($A63,Cot_droits!$A$17:$A$68,Cot_droits!$N$17:$N$68))/LOOKUP($A63,Barèmes!$A$65:$A$148,Barèmes!$C$65:$C$148),IF(AND($A63&gt;=$B$5+$B$4,$A63&lt;=INT($B$8)-1+$B$4),LOOKUP($A63,Retraite!$A$7:$A$47,Retraite!$M$7:$M$47)/LOOKUP($A63,Barèmes!$A$65:$A$148,Barèmes!$C$65:$C$148),IF($A63=INT($B$8+$B$4),(LOOKUP($A63,Retraite!$A$7:$A$47,Retraite!$M$7:$M$47)/LOOKUP($A63,Barèmes!$A$65:$A$148,Barèmes!$C$65:$C$148))*(1-(INT($B$8)+1-$B$8)),0)))</f>
        <v>7726.9684904869355</v>
      </c>
      <c r="I63" s="121">
        <f ca="1">IF($A63&lt;$B$5+$B$4,-(LOOKUP($A63,Cot_droits!$A$17:$A$68,Cot_droits!$I$17:$I$68)+LOOKUP($A63,Cot_droits!$A$17:$A$68,Cot_droits!$J$17:$J$68)+LOOKUP($A63,Cot_droits!$A$17:$A$68,Cot_droits!$N$17:$N$68))/LOOKUP($A63,Barèmes!$A$65:$A$148,Barèmes!$C$65:$C$148),IF(AND($A63&gt;=$B$5+$B$4,$A63&lt;=INT($B$8)-1+$B$4),LOOKUP($A63,Retraite!$A$7:$A$47,Retraite!$Q$7:Q$47)/LOOKUP($A63,Barèmes!$A$65:$A$148,Barèmes!$C$65:$C$148),IF($A63=INT($B$8+$B$4),(LOOKUP($A63,Retraite!$A$7:$A$47,Retraite!$Q$7:$Q$47)/LOOKUP($A63,Barèmes!$A$65:$A$148,Barèmes!$C$65:$C$148))*(1-(INT($B$8)+1-$B$8)),0)))</f>
        <v>6946.5446729477553</v>
      </c>
      <c r="J63" s="115"/>
    </row>
    <row r="64" spans="1:10" s="43" customFormat="1" ht="15.75" customHeight="1" x14ac:dyDescent="0.25">
      <c r="A64" s="125">
        <f t="shared" si="0"/>
        <v>2069</v>
      </c>
      <c r="B64" s="131">
        <f ca="1">IF($A64&lt;$B$5+$B$4,-LOOKUP($A64,Cot_droits!$A$17:$A$68,Cot_droits!$Q$17:$Q$68)/LOOKUP($A64,Barèmes!$A$65:$A$148,Barèmes!$C$65:$C$148),IF(AND($A64&gt;=$B$5+$B$4,$A64&lt;=INT($B$8)+$B$4-1),LOOKUP($A64,Retraite!$A$7:$A$47,Retraite!$K$7:$K$47)/LOOKUP($A64,Barèmes!$A$65:$A$148,Barèmes!$C$65:$C$148),IF($A64=INT($B$8+$B$4),(LOOKUP($A64,Retraite!$A$7:$A$47,Retraite!$K$7:$K$47)/LOOKUP($A64,Barèmes!$A$65:$A$148,Barèmes!$C$65:$C$148))*(1-(INT($B$8+1)-$B$8)),0)))</f>
        <v>33845.122261304656</v>
      </c>
      <c r="C64" s="121">
        <f ca="1">IF($A64&lt;$B$5+$B$4,-LOOKUP($A64,Cot_droits!$A$17:$A$68,Cot_droits!$Q$17:$Q$68)/LOOKUP($A64,Barèmes!$A$65:$A$148,Barèmes!$C$65:$C$148),IF(AND($A64&gt;=$B$5+$B$4,$A64&lt;=INT($B$8)-1+$B$4),LOOKUP($A64,Retraite!$A$7:$A$47,Retraite!N$7:$N$47)/LOOKUP($A64,Barèmes!$A$65:$A$148,Barèmes!$C$65:$C$148),IF($A64=INT($B$8+$B$4),(LOOKUP($A64,Retraite!$A$7:$A$47,Retraite!$N$7:$N$47)/LOOKUP($A64,Barèmes!$A$65:$A$148,Barèmes!$C$65:$C$148))*(1-(INT($B$8)+1-$B$8)),0)))</f>
        <v>30687.820906424775</v>
      </c>
      <c r="D64" s="115"/>
      <c r="E64" s="131">
        <f>IF($A64&lt;$B$5+$B$4,-(LOOKUP($A64,Cot_droits!$A$17:$A$68,Cot_droits!$H$17:$H$68)+LOOKUP($A64,Cot_droits!$A$17:$A$68,Cot_droits!$L$17:$L$68))/LOOKUP($A64,Barèmes!$A$65:$A$148,Barèmes!$C$65:$C$148),IF(AND($A64&gt;=$B$5+$B$4,$A64&lt;=INT($B$8)-1+$B$4),LOOKUP($A64,Retraite!$A$7:$A$47,Retraite!$L$7:$L$47)/LOOKUP($A64,Barèmes!$A$65:$A$148,Barèmes!$C$65:$C$148),IF($A64=INT($B$8+$B$4),(LOOKUP($A64,Retraite!$A$7:$A$47,Retraite!$L$7:$L$47)/LOOKUP($A64,Barèmes!$A$65:$A$148,Barèmes!$C$65:$C$148))*(1-(INT($B$8)+1-$B$8)),0)))</f>
        <v>26105.599351188557</v>
      </c>
      <c r="F64" s="121">
        <f ca="1">IF($A64&lt;$B$5+$B$4,-(LOOKUP($A64,Cot_droits!$A$17:$A$68,Cot_droits!$H$17:$H$68)+LOOKUP($A64,Cot_droits!$A$17:$A$68,Cot_droits!$L$17:$L$68))/LOOKUP($A64,Barèmes!$A$65:$A$148,Barèmes!$C$65:$C$148),IF(AND($A64&gt;=$B$5+$B$4,$A64&lt;=INT($B$8)-1+$B$4),LOOKUP($A64,Retraite!$A$7:$A$47,Retraite!$P$7:P$47)/LOOKUP($A64,Barèmes!$A$65:$A$148,Barèmes!$C$65:$C$148),IF($A64=INT($B$8+$B$4),(LOOKUP($A64,Retraite!$A$7:$A$47,Retraite!$P$7:$P$47)/LOOKUP($A64,Barèmes!$A$65:$A$148,Barèmes!$C$65:$C$148))*(1-(INT($B$8)+1-$B$8)),0)))</f>
        <v>23729.989810230396</v>
      </c>
      <c r="H64" s="131">
        <f ca="1">IF($A64&lt;$B$5+$B$4,-(LOOKUP($A64,Cot_droits!$A$17:$A$68,Cot_droits!$I$17:$I$68)+LOOKUP($A64,Cot_droits!$A$17:$A$68,Cot_droits!$J$17:$J$68)+LOOKUP($A64,Cot_droits!$A$17:$A$68,Cot_droits!$N$17:$N$68))/LOOKUP($A64,Barèmes!$A$65:$A$148,Barèmes!$C$65:$C$148),IF(AND($A64&gt;=$B$5+$B$4,$A64&lt;=INT($B$8)-1+$B$4),LOOKUP($A64,Retraite!$A$7:$A$47,Retraite!$M$7:$M$47)/LOOKUP($A64,Barèmes!$A$65:$A$148,Barèmes!$C$65:$C$148),IF($A64=INT($B$8+$B$4),(LOOKUP($A64,Retraite!$A$7:$A$47,Retraite!$M$7:$M$47)/LOOKUP($A64,Barèmes!$A$65:$A$148,Barèmes!$C$65:$C$148))*(1-(INT($B$8)+1-$B$8)),0)))</f>
        <v>7739.5229101161012</v>
      </c>
      <c r="I64" s="121">
        <f ca="1">IF($A64&lt;$B$5+$B$4,-(LOOKUP($A64,Cot_droits!$A$17:$A$68,Cot_droits!$I$17:$I$68)+LOOKUP($A64,Cot_droits!$A$17:$A$68,Cot_droits!$J$17:$J$68)+LOOKUP($A64,Cot_droits!$A$17:$A$68,Cot_droits!$N$17:$N$68))/LOOKUP($A64,Barèmes!$A$65:$A$148,Barèmes!$C$65:$C$148),IF(AND($A64&gt;=$B$5+$B$4,$A64&lt;=INT($B$8)-1+$B$4),LOOKUP($A64,Retraite!$A$7:$A$47,Retraite!$Q$7:Q$47)/LOOKUP($A64,Barèmes!$A$65:$A$148,Barèmes!$C$65:$C$148),IF($A64=INT($B$8+$B$4),(LOOKUP($A64,Retraite!$A$7:$A$47,Retraite!$Q$7:$Q$47)/LOOKUP($A64,Barèmes!$A$65:$A$148,Barèmes!$C$65:$C$148))*(1-(INT($B$8)+1-$B$8)),0)))</f>
        <v>6957.8310961943762</v>
      </c>
      <c r="J64" s="115"/>
    </row>
    <row r="65" spans="1:10" s="43" customFormat="1" ht="15.75" customHeight="1" x14ac:dyDescent="0.25">
      <c r="A65" s="125">
        <f t="shared" si="0"/>
        <v>2070</v>
      </c>
      <c r="B65" s="131">
        <f ca="1">IF($A65&lt;$B$5+$B$4,-LOOKUP($A65,Cot_droits!$A$17:$A$68,Cot_droits!$Q$17:$Q$68)/LOOKUP($A65,Barèmes!$A$65:$A$148,Barèmes!$C$65:$C$148),IF(AND($A65&gt;=$B$5+$B$4,$A65&lt;=INT($B$8)+$B$4-1),LOOKUP($A65,Retraite!$A$7:$A$47,Retraite!$K$7:$K$47)/LOOKUP($A65,Barèmes!$A$65:$A$148,Barèmes!$C$65:$C$148),IF($A65=INT($B$8+$B$4),(LOOKUP($A65,Retraite!$A$7:$A$47,Retraite!$K$7:$K$47)/LOOKUP($A65,Barèmes!$A$65:$A$148,Barèmes!$C$65:$C$148))*(1-(INT($B$8+1)-$B$8)),0)))</f>
        <v>33857.685134847525</v>
      </c>
      <c r="C65" s="121">
        <f ca="1">IF($A65&lt;$B$5+$B$4,-LOOKUP($A65,Cot_droits!$A$17:$A$68,Cot_droits!$Q$17:$Q$68)/LOOKUP($A65,Barèmes!$A$65:$A$148,Barèmes!$C$65:$C$148),IF(AND($A65&gt;=$B$5+$B$4,$A65&lt;=INT($B$8)-1+$B$4),LOOKUP($A65,Retraite!$A$7:$A$47,Retraite!N$7:$N$47)/LOOKUP($A65,Barèmes!$A$65:$A$148,Barèmes!$C$65:$C$148),IF($A65=INT($B$8+$B$4),(LOOKUP($A65,Retraite!$A$7:$A$47,Retraite!$N$7:$N$47)/LOOKUP($A65,Barèmes!$A$65:$A$148,Barèmes!$C$65:$C$148))*(1-(INT($B$8)+1-$B$8)),0)))</f>
        <v>30699.114929739808</v>
      </c>
      <c r="D65" s="115"/>
      <c r="E65" s="131">
        <f>IF($A65&lt;$B$5+$B$4,-(LOOKUP($A65,Cot_droits!$A$17:$A$68,Cot_droits!$H$17:$H$68)+LOOKUP($A65,Cot_droits!$A$17:$A$68,Cot_droits!$L$17:$L$68))/LOOKUP($A65,Barèmes!$A$65:$A$148,Barèmes!$C$65:$C$148),IF(AND($A65&gt;=$B$5+$B$4,$A65&lt;=INT($B$8)-1+$B$4),LOOKUP($A65,Retraite!$A$7:$A$47,Retraite!$L$7:$L$47)/LOOKUP($A65,Barèmes!$A$65:$A$148,Barèmes!$C$65:$C$148),IF($A65=INT($B$8+$B$4),(LOOKUP($A65,Retraite!$A$7:$A$47,Retraite!$L$7:$L$47)/LOOKUP($A65,Barèmes!$A$65:$A$148,Barèmes!$C$65:$C$148))*(1-(INT($B$8)+1-$B$8)),0)))</f>
        <v>26105.599351188554</v>
      </c>
      <c r="F65" s="121">
        <f ca="1">IF($A65&lt;$B$5+$B$4,-(LOOKUP($A65,Cot_droits!$A$17:$A$68,Cot_droits!$H$17:$H$68)+LOOKUP($A65,Cot_droits!$A$17:$A$68,Cot_droits!$L$17:$L$68))/LOOKUP($A65,Barèmes!$A$65:$A$148,Barèmes!$C$65:$C$148),IF(AND($A65&gt;=$B$5+$B$4,$A65&lt;=INT($B$8)-1+$B$4),LOOKUP($A65,Retraite!$A$7:$A$47,Retraite!$P$7:P$47)/LOOKUP($A65,Barèmes!$A$65:$A$148,Barèmes!$C$65:$C$148),IF($A65=INT($B$8+$B$4),(LOOKUP($A65,Retraite!$A$7:$A$47,Retraite!$P$7:$P$47)/LOOKUP($A65,Barèmes!$A$65:$A$148,Barèmes!$C$65:$C$148))*(1-(INT($B$8)+1-$B$8)),0)))</f>
        <v>23729.989810230396</v>
      </c>
      <c r="H65" s="131">
        <f ca="1">IF($A65&lt;$B$5+$B$4,-(LOOKUP($A65,Cot_droits!$A$17:$A$68,Cot_droits!$I$17:$I$68)+LOOKUP($A65,Cot_droits!$A$17:$A$68,Cot_droits!$J$17:$J$68)+LOOKUP($A65,Cot_droits!$A$17:$A$68,Cot_droits!$N$17:$N$68))/LOOKUP($A65,Barèmes!$A$65:$A$148,Barèmes!$C$65:$C$148),IF(AND($A65&gt;=$B$5+$B$4,$A65&lt;=INT($B$8)-1+$B$4),LOOKUP($A65,Retraite!$A$7:$A$47,Retraite!$M$7:$M$47)/LOOKUP($A65,Barèmes!$A$65:$A$148,Barèmes!$C$65:$C$148),IF($A65=INT($B$8+$B$4),(LOOKUP($A65,Retraite!$A$7:$A$47,Retraite!$M$7:$M$47)/LOOKUP($A65,Barèmes!$A$65:$A$148,Barèmes!$C$65:$C$148))*(1-(INT($B$8)+1-$B$8)),0)))</f>
        <v>7752.085783658963</v>
      </c>
      <c r="I65" s="121">
        <f ca="1">IF($A65&lt;$B$5+$B$4,-(LOOKUP($A65,Cot_droits!$A$17:$A$68,Cot_droits!$I$17:$I$68)+LOOKUP($A65,Cot_droits!$A$17:$A$68,Cot_droits!$J$17:$J$68)+LOOKUP($A65,Cot_droits!$A$17:$A$68,Cot_droits!$N$17:$N$68))/LOOKUP($A65,Barèmes!$A$65:$A$148,Barèmes!$C$65:$C$148),IF(AND($A65&gt;=$B$5+$B$4,$A65&lt;=INT($B$8)-1+$B$4),LOOKUP($A65,Retraite!$A$7:$A$47,Retraite!$Q$7:Q$47)/LOOKUP($A65,Barèmes!$A$65:$A$148,Barèmes!$C$65:$C$148),IF($A65=INT($B$8+$B$4),(LOOKUP($A65,Retraite!$A$7:$A$47,Retraite!$Q$7:$Q$47)/LOOKUP($A65,Barèmes!$A$65:$A$148,Barèmes!$C$65:$C$148))*(1-(INT($B$8)+1-$B$8)),0)))</f>
        <v>6969.1251195094083</v>
      </c>
      <c r="J65" s="115"/>
    </row>
    <row r="66" spans="1:10" s="43" customFormat="1" ht="15.75" customHeight="1" x14ac:dyDescent="0.25">
      <c r="A66" s="125">
        <f t="shared" si="0"/>
        <v>2071</v>
      </c>
      <c r="B66" s="131">
        <f ca="1">IF($A66&lt;$B$5+$B$4,-LOOKUP($A66,Cot_droits!$A$17:$A$68,Cot_droits!$Q$17:$Q$68)/LOOKUP($A66,Barèmes!$A$65:$A$148,Barèmes!$C$65:$C$148),IF(AND($A66&gt;=$B$5+$B$4,$A66&lt;=INT($B$8)+$B$4-1),LOOKUP($A66,Retraite!$A$7:$A$47,Retraite!$K$7:$K$47)/LOOKUP($A66,Barèmes!$A$65:$A$148,Barèmes!$C$65:$C$148),IF($A66=INT($B$8+$B$4),(LOOKUP($A66,Retraite!$A$7:$A$47,Retraite!$K$7:$K$47)/LOOKUP($A66,Barèmes!$A$65:$A$148,Barèmes!$C$65:$C$148))*(1-(INT($B$8+1)-$B$8)),0)))</f>
        <v>33870.199599247753</v>
      </c>
      <c r="C66" s="121">
        <f ca="1">IF($A66&lt;$B$5+$B$4,-LOOKUP($A66,Cot_droits!$A$17:$A$68,Cot_droits!$Q$17:$Q$68)/LOOKUP($A66,Barèmes!$A$65:$A$148,Barèmes!$C$65:$C$148),IF(AND($A66&gt;=$B$5+$B$4,$A66&lt;=INT($B$8)-1+$B$4),LOOKUP($A66,Retraite!$A$7:$A$47,Retraite!N$7:$N$47)/LOOKUP($A66,Barèmes!$A$65:$A$148,Barèmes!$C$65:$C$148),IF($A66=INT($B$8+$B$4),(LOOKUP($A66,Retraite!$A$7:$A$47,Retraite!$N$7:$N$47)/LOOKUP($A66,Barèmes!$A$65:$A$148,Barèmes!$C$65:$C$148))*(1-(INT($B$8)+1-$B$8)),0)))</f>
        <v>30710.36543323562</v>
      </c>
      <c r="D66" s="115"/>
      <c r="E66" s="131">
        <f>IF($A66&lt;$B$5+$B$4,-(LOOKUP($A66,Cot_droits!$A$17:$A$68,Cot_droits!$H$17:$H$68)+LOOKUP($A66,Cot_droits!$A$17:$A$68,Cot_droits!$L$17:$L$68))/LOOKUP($A66,Barèmes!$A$65:$A$148,Barèmes!$C$65:$C$148),IF(AND($A66&gt;=$B$5+$B$4,$A66&lt;=INT($B$8)-1+$B$4),LOOKUP($A66,Retraite!$A$7:$A$47,Retraite!$L$7:$L$47)/LOOKUP($A66,Barèmes!$A$65:$A$148,Barèmes!$C$65:$C$148),IF($A66=INT($B$8+$B$4),(LOOKUP($A66,Retraite!$A$7:$A$47,Retraite!$L$7:$L$47)/LOOKUP($A66,Barèmes!$A$65:$A$148,Barèmes!$C$65:$C$148))*(1-(INT($B$8)+1-$B$8)),0)))</f>
        <v>26105.599351188554</v>
      </c>
      <c r="F66" s="121">
        <f ca="1">IF($A66&lt;$B$5+$B$4,-(LOOKUP($A66,Cot_droits!$A$17:$A$68,Cot_droits!$H$17:$H$68)+LOOKUP($A66,Cot_droits!$A$17:$A$68,Cot_droits!$L$17:$L$68))/LOOKUP($A66,Barèmes!$A$65:$A$148,Barèmes!$C$65:$C$148),IF(AND($A66&gt;=$B$5+$B$4,$A66&lt;=INT($B$8)-1+$B$4),LOOKUP($A66,Retraite!$A$7:$A$47,Retraite!$P$7:P$47)/LOOKUP($A66,Barèmes!$A$65:$A$148,Barèmes!$C$65:$C$148),IF($A66=INT($B$8+$B$4),(LOOKUP($A66,Retraite!$A$7:$A$47,Retraite!$P$7:$P$47)/LOOKUP($A66,Barèmes!$A$65:$A$148,Barèmes!$C$65:$C$148))*(1-(INT($B$8)+1-$B$8)),0)))</f>
        <v>23729.989810230396</v>
      </c>
      <c r="H66" s="131">
        <f ca="1">IF($A66&lt;$B$5+$B$4,-(LOOKUP($A66,Cot_droits!$A$17:$A$68,Cot_droits!$I$17:$I$68)+LOOKUP($A66,Cot_droits!$A$17:$A$68,Cot_droits!$J$17:$J$68)+LOOKUP($A66,Cot_droits!$A$17:$A$68,Cot_droits!$N$17:$N$68))/LOOKUP($A66,Barèmes!$A$65:$A$148,Barèmes!$C$65:$C$148),IF(AND($A66&gt;=$B$5+$B$4,$A66&lt;=INT($B$8)-1+$B$4),LOOKUP($A66,Retraite!$A$7:$A$47,Retraite!$M$7:$M$47)/LOOKUP($A66,Barèmes!$A$65:$A$148,Barèmes!$C$65:$C$148),IF($A66=INT($B$8+$B$4),(LOOKUP($A66,Retraite!$A$7:$A$47,Retraite!$M$7:$M$47)/LOOKUP($A66,Barèmes!$A$65:$A$148,Barèmes!$C$65:$C$148))*(1-(INT($B$8)+1-$B$8)),0)))</f>
        <v>7764.6002480592042</v>
      </c>
      <c r="I66" s="121">
        <f ca="1">IF($A66&lt;$B$5+$B$4,-(LOOKUP($A66,Cot_droits!$A$17:$A$68,Cot_droits!$I$17:$I$68)+LOOKUP($A66,Cot_droits!$A$17:$A$68,Cot_droits!$J$17:$J$68)+LOOKUP($A66,Cot_droits!$A$17:$A$68,Cot_droits!$N$17:$N$68))/LOOKUP($A66,Barèmes!$A$65:$A$148,Barèmes!$C$65:$C$148),IF(AND($A66&gt;=$B$5+$B$4,$A66&lt;=INT($B$8)-1+$B$4),LOOKUP($A66,Retraite!$A$7:$A$47,Retraite!$Q$7:Q$47)/LOOKUP($A66,Barèmes!$A$65:$A$148,Barèmes!$C$65:$C$148),IF($A66=INT($B$8+$B$4),(LOOKUP($A66,Retraite!$A$7:$A$47,Retraite!$Q$7:$Q$47)/LOOKUP($A66,Barèmes!$A$65:$A$148,Barèmes!$C$65:$C$148))*(1-(INT($B$8)+1-$B$8)),0)))</f>
        <v>6980.375623005224</v>
      </c>
      <c r="J66" s="115"/>
    </row>
    <row r="67" spans="1:10" s="43" customFormat="1" ht="15.75" customHeight="1" x14ac:dyDescent="0.25">
      <c r="A67" s="125">
        <f t="shared" si="0"/>
        <v>2072</v>
      </c>
      <c r="B67" s="131">
        <f ca="1">IF($A67&lt;$B$5+$B$4,-LOOKUP($A67,Cot_droits!$A$17:$A$68,Cot_droits!$Q$17:$Q$68)/LOOKUP($A67,Barèmes!$A$65:$A$148,Barèmes!$C$65:$C$148),IF(AND($A67&gt;=$B$5+$B$4,$A67&lt;=INT($B$8)+$B$4-1),LOOKUP($A67,Retraite!$A$7:$A$47,Retraite!$K$7:$K$47)/LOOKUP($A67,Barèmes!$A$65:$A$148,Barèmes!$C$65:$C$148),IF($A67=INT($B$8+$B$4),(LOOKUP($A67,Retraite!$A$7:$A$47,Retraite!$K$7:$K$47)/LOOKUP($A67,Barèmes!$A$65:$A$148,Barèmes!$C$65:$C$148))*(1-(INT($B$8+1)-$B$8)),0)))</f>
        <v>33882.619144116274</v>
      </c>
      <c r="C67" s="121">
        <f ca="1">IF($A67&lt;$B$5+$B$4,-LOOKUP($A67,Cot_droits!$A$17:$A$68,Cot_droits!$Q$17:$Q$68)/LOOKUP($A67,Barèmes!$A$65:$A$148,Barèmes!$C$65:$C$148),IF(AND($A67&gt;=$B$5+$B$4,$A67&lt;=INT($B$8)-1+$B$4),LOOKUP($A67,Retraite!$A$7:$A$47,Retraite!N$7:$N$47)/LOOKUP($A67,Barèmes!$A$65:$A$148,Barèmes!$C$65:$C$148),IF($A67=INT($B$8+$B$4),(LOOKUP($A67,Retraite!$A$7:$A$47,Retraite!$N$7:$N$47)/LOOKUP($A67,Barèmes!$A$65:$A$148,Barèmes!$C$65:$C$148))*(1-(INT($B$8)+1-$B$8)),0)))</f>
        <v>30721.530604072414</v>
      </c>
      <c r="D67" s="115"/>
      <c r="E67" s="131">
        <f>IF($A67&lt;$B$5+$B$4,-(LOOKUP($A67,Cot_droits!$A$17:$A$68,Cot_droits!$H$17:$H$68)+LOOKUP($A67,Cot_droits!$A$17:$A$68,Cot_droits!$L$17:$L$68))/LOOKUP($A67,Barèmes!$A$65:$A$148,Barèmes!$C$65:$C$148),IF(AND($A67&gt;=$B$5+$B$4,$A67&lt;=INT($B$8)-1+$B$4),LOOKUP($A67,Retraite!$A$7:$A$47,Retraite!$L$7:$L$47)/LOOKUP($A67,Barèmes!$A$65:$A$148,Barèmes!$C$65:$C$148),IF($A67=INT($B$8+$B$4),(LOOKUP($A67,Retraite!$A$7:$A$47,Retraite!$L$7:$L$47)/LOOKUP($A67,Barèmes!$A$65:$A$148,Barèmes!$C$65:$C$148))*(1-(INT($B$8)+1-$B$8)),0)))</f>
        <v>26105.599351188554</v>
      </c>
      <c r="F67" s="121">
        <f ca="1">IF($A67&lt;$B$5+$B$4,-(LOOKUP($A67,Cot_droits!$A$17:$A$68,Cot_droits!$H$17:$H$68)+LOOKUP($A67,Cot_droits!$A$17:$A$68,Cot_droits!$L$17:$L$68))/LOOKUP($A67,Barèmes!$A$65:$A$148,Barèmes!$C$65:$C$148),IF(AND($A67&gt;=$B$5+$B$4,$A67&lt;=INT($B$8)-1+$B$4),LOOKUP($A67,Retraite!$A$7:$A$47,Retraite!$P$7:P$47)/LOOKUP($A67,Barèmes!$A$65:$A$148,Barèmes!$C$65:$C$148),IF($A67=INT($B$8+$B$4),(LOOKUP($A67,Retraite!$A$7:$A$47,Retraite!$P$7:$P$47)/LOOKUP($A67,Barèmes!$A$65:$A$148,Barèmes!$C$65:$C$148))*(1-(INT($B$8)+1-$B$8)),0)))</f>
        <v>23729.989810230396</v>
      </c>
      <c r="H67" s="131">
        <f ca="1">IF($A67&lt;$B$5+$B$4,-(LOOKUP($A67,Cot_droits!$A$17:$A$68,Cot_droits!$I$17:$I$68)+LOOKUP($A67,Cot_droits!$A$17:$A$68,Cot_droits!$J$17:$J$68)+LOOKUP($A67,Cot_droits!$A$17:$A$68,Cot_droits!$N$17:$N$68))/LOOKUP($A67,Barèmes!$A$65:$A$148,Barèmes!$C$65:$C$148),IF(AND($A67&gt;=$B$5+$B$4,$A67&lt;=INT($B$8)-1+$B$4),LOOKUP($A67,Retraite!$A$7:$A$47,Retraite!$M$7:$M$47)/LOOKUP($A67,Barèmes!$A$65:$A$148,Barèmes!$C$65:$C$148),IF($A67=INT($B$8+$B$4),(LOOKUP($A67,Retraite!$A$7:$A$47,Retraite!$M$7:$M$47)/LOOKUP($A67,Barèmes!$A$65:$A$148,Barèmes!$C$65:$C$148))*(1-(INT($B$8)+1-$B$8)),0)))</f>
        <v>7777.0197929277192</v>
      </c>
      <c r="I67" s="121">
        <f ca="1">IF($A67&lt;$B$5+$B$4,-(LOOKUP($A67,Cot_droits!$A$17:$A$68,Cot_droits!$I$17:$I$68)+LOOKUP($A67,Cot_droits!$A$17:$A$68,Cot_droits!$J$17:$J$68)+LOOKUP($A67,Cot_droits!$A$17:$A$68,Cot_droits!$N$17:$N$68))/LOOKUP($A67,Barèmes!$A$65:$A$148,Barèmes!$C$65:$C$148),IF(AND($A67&gt;=$B$5+$B$4,$A67&lt;=INT($B$8)-1+$B$4),LOOKUP($A67,Retraite!$A$7:$A$47,Retraite!$Q$7:Q$47)/LOOKUP($A67,Barèmes!$A$65:$A$148,Barèmes!$C$65:$C$148),IF($A67=INT($B$8+$B$4),(LOOKUP($A67,Retraite!$A$7:$A$47,Retraite!$Q$7:$Q$47)/LOOKUP($A67,Barèmes!$A$65:$A$148,Barèmes!$C$65:$C$148))*(1-(INT($B$8)+1-$B$8)),0)))</f>
        <v>6991.5407938420185</v>
      </c>
      <c r="J67" s="115"/>
    </row>
    <row r="68" spans="1:10" s="43" customFormat="1" ht="15.75" customHeight="1" x14ac:dyDescent="0.25">
      <c r="A68" s="125">
        <f t="shared" si="0"/>
        <v>2073</v>
      </c>
      <c r="B68" s="131">
        <f ca="1">IF($A68&lt;$B$5+$B$4,-LOOKUP($A68,Cot_droits!$A$17:$A$68,Cot_droits!$Q$17:$Q$68)/LOOKUP($A68,Barèmes!$A$65:$A$148,Barèmes!$C$65:$C$148),IF(AND($A68&gt;=$B$5+$B$4,$A68&lt;=INT($B$8)+$B$4-1),LOOKUP($A68,Retraite!$A$7:$A$47,Retraite!$K$7:$K$47)/LOOKUP($A68,Barèmes!$A$65:$A$148,Barèmes!$C$65:$C$148),IF($A68=INT($B$8+$B$4),(LOOKUP($A68,Retraite!$A$7:$A$47,Retraite!$K$7:$K$47)/LOOKUP($A68,Barèmes!$A$65:$A$148,Barèmes!$C$65:$C$148))*(1-(INT($B$8+1)-$B$8)),0)))</f>
        <v>33895.058554153606</v>
      </c>
      <c r="C68" s="121">
        <f ca="1">IF($A68&lt;$B$5+$B$4,-LOOKUP($A68,Cot_droits!$A$17:$A$68,Cot_droits!$Q$17:$Q$68)/LOOKUP($A68,Barèmes!$A$65:$A$148,Barèmes!$C$65:$C$148),IF(AND($A68&gt;=$B$5+$B$4,$A68&lt;=INT($B$8)-1+$B$4),LOOKUP($A68,Retraite!$A$7:$A$47,Retraite!N$7:$N$47)/LOOKUP($A68,Barèmes!$A$65:$A$148,Barèmes!$C$65:$C$148),IF($A68=INT($B$8+$B$4),(LOOKUP($A68,Retraite!$A$7:$A$47,Retraite!$N$7:$N$47)/LOOKUP($A68,Barèmes!$A$65:$A$148,Barèmes!$C$65:$C$148))*(1-(INT($B$8)+1-$B$8)),0)))</f>
        <v>30732.713633695977</v>
      </c>
      <c r="D68" s="115"/>
      <c r="E68" s="131">
        <f>IF($A68&lt;$B$5+$B$4,-(LOOKUP($A68,Cot_droits!$A$17:$A$68,Cot_droits!$H$17:$H$68)+LOOKUP($A68,Cot_droits!$A$17:$A$68,Cot_droits!$L$17:$L$68))/LOOKUP($A68,Barèmes!$A$65:$A$148,Barèmes!$C$65:$C$148),IF(AND($A68&gt;=$B$5+$B$4,$A68&lt;=INT($B$8)-1+$B$4),LOOKUP($A68,Retraite!$A$7:$A$47,Retraite!$L$7:$L$47)/LOOKUP($A68,Barèmes!$A$65:$A$148,Barèmes!$C$65:$C$148),IF($A68=INT($B$8+$B$4),(LOOKUP($A68,Retraite!$A$7:$A$47,Retraite!$L$7:$L$47)/LOOKUP($A68,Barèmes!$A$65:$A$148,Barèmes!$C$65:$C$148))*(1-(INT($B$8)+1-$B$8)),0)))</f>
        <v>26105.59935118855</v>
      </c>
      <c r="F68" s="121">
        <f ca="1">IF($A68&lt;$B$5+$B$4,-(LOOKUP($A68,Cot_droits!$A$17:$A$68,Cot_droits!$H$17:$H$68)+LOOKUP($A68,Cot_droits!$A$17:$A$68,Cot_droits!$L$17:$L$68))/LOOKUP($A68,Barèmes!$A$65:$A$148,Barèmes!$C$65:$C$148),IF(AND($A68&gt;=$B$5+$B$4,$A68&lt;=INT($B$8)-1+$B$4),LOOKUP($A68,Retraite!$A$7:$A$47,Retraite!$P$7:P$47)/LOOKUP($A68,Barèmes!$A$65:$A$148,Barèmes!$C$65:$C$148),IF($A68=INT($B$8+$B$4),(LOOKUP($A68,Retraite!$A$7:$A$47,Retraite!$P$7:$P$47)/LOOKUP($A68,Barèmes!$A$65:$A$148,Barèmes!$C$65:$C$148))*(1-(INT($B$8)+1-$B$8)),0)))</f>
        <v>23729.989810230396</v>
      </c>
      <c r="H68" s="131">
        <f ca="1">IF($A68&lt;$B$5+$B$4,-(LOOKUP($A68,Cot_droits!$A$17:$A$68,Cot_droits!$I$17:$I$68)+LOOKUP($A68,Cot_droits!$A$17:$A$68,Cot_droits!$J$17:$J$68)+LOOKUP($A68,Cot_droits!$A$17:$A$68,Cot_droits!$N$17:$N$68))/LOOKUP($A68,Barèmes!$A$65:$A$148,Barèmes!$C$65:$C$148),IF(AND($A68&gt;=$B$5+$B$4,$A68&lt;=INT($B$8)-1+$B$4),LOOKUP($A68,Retraite!$A$7:$A$47,Retraite!$M$7:$M$47)/LOOKUP($A68,Barèmes!$A$65:$A$148,Barèmes!$C$65:$C$148),IF($A68=INT($B$8+$B$4),(LOOKUP($A68,Retraite!$A$7:$A$47,Retraite!$M$7:$M$47)/LOOKUP($A68,Barèmes!$A$65:$A$148,Barèmes!$C$65:$C$148))*(1-(INT($B$8)+1-$B$8)),0)))</f>
        <v>7789.459202965053</v>
      </c>
      <c r="I68" s="121">
        <f ca="1">IF($A68&lt;$B$5+$B$4,-(LOOKUP($A68,Cot_droits!$A$17:$A$68,Cot_droits!$I$17:$I$68)+LOOKUP($A68,Cot_droits!$A$17:$A$68,Cot_droits!$J$17:$J$68)+LOOKUP($A68,Cot_droits!$A$17:$A$68,Cot_droits!$N$17:$N$68))/LOOKUP($A68,Barèmes!$A$65:$A$148,Barèmes!$C$65:$C$148),IF(AND($A68&gt;=$B$5+$B$4,$A68&lt;=INT($B$8)-1+$B$4),LOOKUP($A68,Retraite!$A$7:$A$47,Retraite!$Q$7:Q$47)/LOOKUP($A68,Barèmes!$A$65:$A$148,Barèmes!$C$65:$C$148),IF($A68=INT($B$8+$B$4),(LOOKUP($A68,Retraite!$A$7:$A$47,Retraite!$Q$7:$Q$47)/LOOKUP($A68,Barèmes!$A$65:$A$148,Barèmes!$C$65:$C$148))*(1-(INT($B$8)+1-$B$8)),0)))</f>
        <v>7002.7238234655824</v>
      </c>
      <c r="J68" s="115"/>
    </row>
    <row r="69" spans="1:10" s="43" customFormat="1" ht="15.75" customHeight="1" x14ac:dyDescent="0.25">
      <c r="A69" s="125">
        <f t="shared" si="0"/>
        <v>2074</v>
      </c>
      <c r="B69" s="131">
        <f ca="1">IF($A69&lt;$B$5+$B$4,-LOOKUP($A69,Cot_droits!$A$17:$A$68,Cot_droits!$Q$17:$Q$68)/LOOKUP($A69,Barèmes!$A$65:$A$148,Barèmes!$C$65:$C$148),IF(AND($A69&gt;=$B$5+$B$4,$A69&lt;=INT($B$8)+$B$4-1),LOOKUP($A69,Retraite!$A$7:$A$47,Retraite!$K$7:$K$47)/LOOKUP($A69,Barèmes!$A$65:$A$148,Barèmes!$C$65:$C$148),IF($A69=INT($B$8+$B$4),(LOOKUP($A69,Retraite!$A$7:$A$47,Retraite!$K$7:$K$47)/LOOKUP($A69,Barèmes!$A$65:$A$148,Barèmes!$C$65:$C$148))*(1-(INT($B$8+1)-$B$8)),0)))</f>
        <v>33907.517861134271</v>
      </c>
      <c r="C69" s="121">
        <f ca="1">IF($A69&lt;$B$5+$B$4,-LOOKUP($A69,Cot_droits!$A$17:$A$68,Cot_droits!$Q$17:$Q$68)/LOOKUP($A69,Barèmes!$A$65:$A$148,Barèmes!$C$65:$C$148),IF(AND($A69&gt;=$B$5+$B$4,$A69&lt;=INT($B$8)-1+$B$4),LOOKUP($A69,Retraite!$A$7:$A$47,Retraite!N$7:$N$47)/LOOKUP($A69,Barèmes!$A$65:$A$148,Barèmes!$C$65:$C$148),IF($A69=INT($B$8+$B$4),(LOOKUP($A69,Retraite!$A$7:$A$47,Retraite!$N$7:$N$47)/LOOKUP($A69,Barèmes!$A$65:$A$148,Barèmes!$C$65:$C$148))*(1-(INT($B$8)+1-$B$8)),0)))</f>
        <v>30743.914550671594</v>
      </c>
      <c r="D69" s="115"/>
      <c r="E69" s="131">
        <f>IF($A69&lt;$B$5+$B$4,-(LOOKUP($A69,Cot_droits!$A$17:$A$68,Cot_droits!$H$17:$H$68)+LOOKUP($A69,Cot_droits!$A$17:$A$68,Cot_droits!$L$17:$L$68))/LOOKUP($A69,Barèmes!$A$65:$A$148,Barèmes!$C$65:$C$148),IF(AND($A69&gt;=$B$5+$B$4,$A69&lt;=INT($B$8)-1+$B$4),LOOKUP($A69,Retraite!$A$7:$A$47,Retraite!$L$7:$L$47)/LOOKUP($A69,Barèmes!$A$65:$A$148,Barèmes!$C$65:$C$148),IF($A69=INT($B$8+$B$4),(LOOKUP($A69,Retraite!$A$7:$A$47,Retraite!$L$7:$L$47)/LOOKUP($A69,Barèmes!$A$65:$A$148,Barèmes!$C$65:$C$148))*(1-(INT($B$8)+1-$B$8)),0)))</f>
        <v>26105.599351188554</v>
      </c>
      <c r="F69" s="121">
        <f ca="1">IF($A69&lt;$B$5+$B$4,-(LOOKUP($A69,Cot_droits!$A$17:$A$68,Cot_droits!$H$17:$H$68)+LOOKUP($A69,Cot_droits!$A$17:$A$68,Cot_droits!$L$17:$L$68))/LOOKUP($A69,Barèmes!$A$65:$A$148,Barèmes!$C$65:$C$148),IF(AND($A69&gt;=$B$5+$B$4,$A69&lt;=INT($B$8)-1+$B$4),LOOKUP($A69,Retraite!$A$7:$A$47,Retraite!$P$7:P$47)/LOOKUP($A69,Barèmes!$A$65:$A$148,Barèmes!$C$65:$C$148),IF($A69=INT($B$8+$B$4),(LOOKUP($A69,Retraite!$A$7:$A$47,Retraite!$P$7:$P$47)/LOOKUP($A69,Barèmes!$A$65:$A$148,Barèmes!$C$65:$C$148))*(1-(INT($B$8)+1-$B$8)),0)))</f>
        <v>23729.989810230396</v>
      </c>
      <c r="H69" s="131">
        <f ca="1">IF($A69&lt;$B$5+$B$4,-(LOOKUP($A69,Cot_droits!$A$17:$A$68,Cot_droits!$I$17:$I$68)+LOOKUP($A69,Cot_droits!$A$17:$A$68,Cot_droits!$J$17:$J$68)+LOOKUP($A69,Cot_droits!$A$17:$A$68,Cot_droits!$N$17:$N$68))/LOOKUP($A69,Barèmes!$A$65:$A$148,Barèmes!$C$65:$C$148),IF(AND($A69&gt;=$B$5+$B$4,$A69&lt;=INT($B$8)-1+$B$4),LOOKUP($A69,Retraite!$A$7:$A$47,Retraite!$M$7:$M$47)/LOOKUP($A69,Barèmes!$A$65:$A$148,Barèmes!$C$65:$C$148),IF($A69=INT($B$8+$B$4),(LOOKUP($A69,Retraite!$A$7:$A$47,Retraite!$M$7:$M$47)/LOOKUP($A69,Barèmes!$A$65:$A$148,Barèmes!$C$65:$C$148))*(1-(INT($B$8)+1-$B$8)),0)))</f>
        <v>7801.9185099457163</v>
      </c>
      <c r="I69" s="121">
        <f ca="1">IF($A69&lt;$B$5+$B$4,-(LOOKUP($A69,Cot_droits!$A$17:$A$68,Cot_droits!$I$17:$I$68)+LOOKUP($A69,Cot_droits!$A$17:$A$68,Cot_droits!$J$17:$J$68)+LOOKUP($A69,Cot_droits!$A$17:$A$68,Cot_droits!$N$17:$N$68))/LOOKUP($A69,Barèmes!$A$65:$A$148,Barèmes!$C$65:$C$148),IF(AND($A69&gt;=$B$5+$B$4,$A69&lt;=INT($B$8)-1+$B$4),LOOKUP($A69,Retraite!$A$7:$A$47,Retraite!$Q$7:Q$47)/LOOKUP($A69,Barèmes!$A$65:$A$148,Barèmes!$C$65:$C$148),IF($A69=INT($B$8+$B$4),(LOOKUP($A69,Retraite!$A$7:$A$47,Retraite!$Q$7:$Q$47)/LOOKUP($A69,Barèmes!$A$65:$A$148,Barèmes!$C$65:$C$148))*(1-(INT($B$8)+1-$B$8)),0)))</f>
        <v>7013.9247404411999</v>
      </c>
      <c r="J69" s="115"/>
    </row>
    <row r="70" spans="1:10" s="43" customFormat="1" ht="15.75" customHeight="1" x14ac:dyDescent="0.25">
      <c r="A70" s="125">
        <f t="shared" si="0"/>
        <v>2075</v>
      </c>
      <c r="B70" s="131">
        <f ca="1">IF($A70&lt;$B$5+$B$4,-LOOKUP($A70,Cot_droits!$A$17:$A$68,Cot_droits!$Q$17:$Q$68)/LOOKUP($A70,Barèmes!$A$65:$A$148,Barèmes!$C$65:$C$148),IF(AND($A70&gt;=$B$5+$B$4,$A70&lt;=INT($B$8)+$B$4-1),LOOKUP($A70,Retraite!$A$7:$A$47,Retraite!$K$7:$K$47)/LOOKUP($A70,Barèmes!$A$65:$A$148,Barèmes!$C$65:$C$148),IF($A70=INT($B$8+$B$4),(LOOKUP($A70,Retraite!$A$7:$A$47,Retraite!$K$7:$K$47)/LOOKUP($A70,Barèmes!$A$65:$A$148,Barèmes!$C$65:$C$148))*(1-(INT($B$8+1)-$B$8)),0)))</f>
        <v>33919.997096883584</v>
      </c>
      <c r="C70" s="121">
        <f ca="1">IF($A70&lt;$B$5+$B$4,-LOOKUP($A70,Cot_droits!$A$17:$A$68,Cot_droits!$Q$17:$Q$68)/LOOKUP($A70,Barèmes!$A$65:$A$148,Barèmes!$C$65:$C$148),IF(AND($A70&gt;=$B$5+$B$4,$A70&lt;=INT($B$8)-1+$B$4),LOOKUP($A70,Retraite!$A$7:$A$47,Retraite!N$7:$N$47)/LOOKUP($A70,Barèmes!$A$65:$A$148,Barèmes!$C$65:$C$148),IF($A70=INT($B$8+$B$4),(LOOKUP($A70,Retraite!$A$7:$A$47,Retraite!$N$7:$N$47)/LOOKUP($A70,Barèmes!$A$65:$A$148,Barèmes!$C$65:$C$148))*(1-(INT($B$8)+1-$B$8)),0)))</f>
        <v>30755.133383610235</v>
      </c>
      <c r="D70" s="115"/>
      <c r="E70" s="131">
        <f>IF($A70&lt;$B$5+$B$4,-(LOOKUP($A70,Cot_droits!$A$17:$A$68,Cot_droits!$H$17:$H$68)+LOOKUP($A70,Cot_droits!$A$17:$A$68,Cot_droits!$L$17:$L$68))/LOOKUP($A70,Barèmes!$A$65:$A$148,Barèmes!$C$65:$C$148),IF(AND($A70&gt;=$B$5+$B$4,$A70&lt;=INT($B$8)-1+$B$4),LOOKUP($A70,Retraite!$A$7:$A$47,Retraite!$L$7:$L$47)/LOOKUP($A70,Barèmes!$A$65:$A$148,Barèmes!$C$65:$C$148),IF($A70=INT($B$8+$B$4),(LOOKUP($A70,Retraite!$A$7:$A$47,Retraite!$L$7:$L$47)/LOOKUP($A70,Barèmes!$A$65:$A$148,Barèmes!$C$65:$C$148))*(1-(INT($B$8)+1-$B$8)),0)))</f>
        <v>26105.59935118855</v>
      </c>
      <c r="F70" s="121">
        <f ca="1">IF($A70&lt;$B$5+$B$4,-(LOOKUP($A70,Cot_droits!$A$17:$A$68,Cot_droits!$H$17:$H$68)+LOOKUP($A70,Cot_droits!$A$17:$A$68,Cot_droits!$L$17:$L$68))/LOOKUP($A70,Barèmes!$A$65:$A$148,Barèmes!$C$65:$C$148),IF(AND($A70&gt;=$B$5+$B$4,$A70&lt;=INT($B$8)-1+$B$4),LOOKUP($A70,Retraite!$A$7:$A$47,Retraite!$P$7:P$47)/LOOKUP($A70,Barèmes!$A$65:$A$148,Barèmes!$C$65:$C$148),IF($A70=INT($B$8+$B$4),(LOOKUP($A70,Retraite!$A$7:$A$47,Retraite!$P$7:$P$47)/LOOKUP($A70,Barèmes!$A$65:$A$148,Barèmes!$C$65:$C$148))*(1-(INT($B$8)+1-$B$8)),0)))</f>
        <v>23729.989810230392</v>
      </c>
      <c r="H70" s="131">
        <f ca="1">IF($A70&lt;$B$5+$B$4,-(LOOKUP($A70,Cot_droits!$A$17:$A$68,Cot_droits!$I$17:$I$68)+LOOKUP($A70,Cot_droits!$A$17:$A$68,Cot_droits!$J$17:$J$68)+LOOKUP($A70,Cot_droits!$A$17:$A$68,Cot_droits!$N$17:$N$68))/LOOKUP($A70,Barèmes!$A$65:$A$148,Barèmes!$C$65:$C$148),IF(AND($A70&gt;=$B$5+$B$4,$A70&lt;=INT($B$8)-1+$B$4),LOOKUP($A70,Retraite!$A$7:$A$47,Retraite!$M$7:$M$47)/LOOKUP($A70,Barèmes!$A$65:$A$148,Barèmes!$C$65:$C$148),IF($A70=INT($B$8+$B$4),(LOOKUP($A70,Retraite!$A$7:$A$47,Retraite!$M$7:$M$47)/LOOKUP($A70,Barèmes!$A$65:$A$148,Barèmes!$C$65:$C$148))*(1-(INT($B$8)+1-$B$8)),0)))</f>
        <v>7814.3977456950379</v>
      </c>
      <c r="I70" s="121">
        <f ca="1">IF($A70&lt;$B$5+$B$4,-(LOOKUP($A70,Cot_droits!$A$17:$A$68,Cot_droits!$I$17:$I$68)+LOOKUP($A70,Cot_droits!$A$17:$A$68,Cot_droits!$J$17:$J$68)+LOOKUP($A70,Cot_droits!$A$17:$A$68,Cot_droits!$N$17:$N$68))/LOOKUP($A70,Barèmes!$A$65:$A$148,Barèmes!$C$65:$C$148),IF(AND($A70&gt;=$B$5+$B$4,$A70&lt;=INT($B$8)-1+$B$4),LOOKUP($A70,Retraite!$A$7:$A$47,Retraite!$Q$7:Q$47)/LOOKUP($A70,Barèmes!$A$65:$A$148,Barèmes!$C$65:$C$148),IF($A70=INT($B$8+$B$4),(LOOKUP($A70,Retraite!$A$7:$A$47,Retraite!$Q$7:$Q$47)/LOOKUP($A70,Barèmes!$A$65:$A$148,Barèmes!$C$65:$C$148))*(1-(INT($B$8)+1-$B$8)),0)))</f>
        <v>7025.1435733798389</v>
      </c>
      <c r="J70" s="115"/>
    </row>
    <row r="71" spans="1:10" s="43" customFormat="1" ht="15.75" customHeight="1" x14ac:dyDescent="0.25">
      <c r="A71" s="125">
        <f t="shared" si="0"/>
        <v>2076</v>
      </c>
      <c r="B71" s="131">
        <f ca="1">IF($A71&lt;$B$5+$B$4,-LOOKUP($A71,Cot_droits!$A$17:$A$68,Cot_droits!$Q$17:$Q$68)/LOOKUP($A71,Barèmes!$A$65:$A$148,Barèmes!$C$65:$C$148),IF(AND($A71&gt;=$B$5+$B$4,$A71&lt;=INT($B$8)+$B$4-1),LOOKUP($A71,Retraite!$A$7:$A$47,Retraite!$K$7:$K$47)/LOOKUP($A71,Barèmes!$A$65:$A$148,Barèmes!$C$65:$C$148),IF($A71=INT($B$8+$B$4),(LOOKUP($A71,Retraite!$A$7:$A$47,Retraite!$K$7:$K$47)/LOOKUP($A71,Barèmes!$A$65:$A$148,Barèmes!$C$65:$C$148))*(1-(INT($B$8+1)-$B$8)),0)))</f>
        <v>33932.496293277807</v>
      </c>
      <c r="C71" s="121">
        <f ca="1">IF($A71&lt;$B$5+$B$4,-LOOKUP($A71,Cot_droits!$A$17:$A$68,Cot_droits!$Q$17:$Q$68)/LOOKUP($A71,Barèmes!$A$65:$A$148,Barèmes!$C$65:$C$148),IF(AND($A71&gt;=$B$5+$B$4,$A71&lt;=INT($B$8)-1+$B$4),LOOKUP($A71,Retraite!$A$7:$A$47,Retraite!N$7:$N$47)/LOOKUP($A71,Barèmes!$A$65:$A$148,Barèmes!$C$65:$C$148),IF($A71=INT($B$8+$B$4),(LOOKUP($A71,Retraite!$A$7:$A$47,Retraite!$N$7:$N$47)/LOOKUP($A71,Barèmes!$A$65:$A$148,Barèmes!$C$65:$C$148))*(1-(INT($B$8)+1-$B$8)),0)))</f>
        <v>30766.370161168637</v>
      </c>
      <c r="D71" s="115"/>
      <c r="E71" s="131">
        <f>IF($A71&lt;$B$5+$B$4,-(LOOKUP($A71,Cot_droits!$A$17:$A$68,Cot_droits!$H$17:$H$68)+LOOKUP($A71,Cot_droits!$A$17:$A$68,Cot_droits!$L$17:$L$68))/LOOKUP($A71,Barèmes!$A$65:$A$148,Barèmes!$C$65:$C$148),IF(AND($A71&gt;=$B$5+$B$4,$A71&lt;=INT($B$8)-1+$B$4),LOOKUP($A71,Retraite!$A$7:$A$47,Retraite!$L$7:$L$47)/LOOKUP($A71,Barèmes!$A$65:$A$148,Barèmes!$C$65:$C$148),IF($A71=INT($B$8+$B$4),(LOOKUP($A71,Retraite!$A$7:$A$47,Retraite!$L$7:$L$47)/LOOKUP($A71,Barèmes!$A$65:$A$148,Barèmes!$C$65:$C$148))*(1-(INT($B$8)+1-$B$8)),0)))</f>
        <v>26105.599351188554</v>
      </c>
      <c r="F71" s="121">
        <f ca="1">IF($A71&lt;$B$5+$B$4,-(LOOKUP($A71,Cot_droits!$A$17:$A$68,Cot_droits!$H$17:$H$68)+LOOKUP($A71,Cot_droits!$A$17:$A$68,Cot_droits!$L$17:$L$68))/LOOKUP($A71,Barèmes!$A$65:$A$148,Barèmes!$C$65:$C$148),IF(AND($A71&gt;=$B$5+$B$4,$A71&lt;=INT($B$8)-1+$B$4),LOOKUP($A71,Retraite!$A$7:$A$47,Retraite!$P$7:P$47)/LOOKUP($A71,Barèmes!$A$65:$A$148,Barèmes!$C$65:$C$148),IF($A71=INT($B$8+$B$4),(LOOKUP($A71,Retraite!$A$7:$A$47,Retraite!$P$7:$P$47)/LOOKUP($A71,Barèmes!$A$65:$A$148,Barèmes!$C$65:$C$148))*(1-(INT($B$8)+1-$B$8)),0)))</f>
        <v>23729.989810230396</v>
      </c>
      <c r="H71" s="131">
        <f ca="1">IF($A71&lt;$B$5+$B$4,-(LOOKUP($A71,Cot_droits!$A$17:$A$68,Cot_droits!$I$17:$I$68)+LOOKUP($A71,Cot_droits!$A$17:$A$68,Cot_droits!$J$17:$J$68)+LOOKUP($A71,Cot_droits!$A$17:$A$68,Cot_droits!$N$17:$N$68))/LOOKUP($A71,Barèmes!$A$65:$A$148,Barèmes!$C$65:$C$148),IF(AND($A71&gt;=$B$5+$B$4,$A71&lt;=INT($B$8)-1+$B$4),LOOKUP($A71,Retraite!$A$7:$A$47,Retraite!$M$7:$M$47)/LOOKUP($A71,Barèmes!$A$65:$A$148,Barèmes!$C$65:$C$148),IF($A71=INT($B$8+$B$4),(LOOKUP($A71,Retraite!$A$7:$A$47,Retraite!$M$7:$M$47)/LOOKUP($A71,Barèmes!$A$65:$A$148,Barèmes!$C$65:$C$148))*(1-(INT($B$8)+1-$B$8)),0)))</f>
        <v>7826.8969420892563</v>
      </c>
      <c r="I71" s="121">
        <f ca="1">IF($A71&lt;$B$5+$B$4,-(LOOKUP($A71,Cot_droits!$A$17:$A$68,Cot_droits!$I$17:$I$68)+LOOKUP($A71,Cot_droits!$A$17:$A$68,Cot_droits!$J$17:$J$68)+LOOKUP($A71,Cot_droits!$A$17:$A$68,Cot_droits!$N$17:$N$68))/LOOKUP($A71,Barèmes!$A$65:$A$148,Barèmes!$C$65:$C$148),IF(AND($A71&gt;=$B$5+$B$4,$A71&lt;=INT($B$8)-1+$B$4),LOOKUP($A71,Retraite!$A$7:$A$47,Retraite!$Q$7:Q$47)/LOOKUP($A71,Barèmes!$A$65:$A$148,Barèmes!$C$65:$C$148),IF($A71=INT($B$8+$B$4),(LOOKUP($A71,Retraite!$A$7:$A$47,Retraite!$Q$7:$Q$47)/LOOKUP($A71,Barèmes!$A$65:$A$148,Barèmes!$C$65:$C$148))*(1-(INT($B$8)+1-$B$8)),0)))</f>
        <v>7036.3803509382415</v>
      </c>
      <c r="J71" s="115"/>
    </row>
    <row r="72" spans="1:10" s="43" customFormat="1" ht="15.75" customHeight="1" x14ac:dyDescent="0.25">
      <c r="A72" s="125">
        <f t="shared" si="0"/>
        <v>2077</v>
      </c>
      <c r="B72" s="131">
        <f ca="1">IF($A72&lt;$B$5+$B$4,-LOOKUP($A72,Cot_droits!$A$17:$A$68,Cot_droits!$Q$17:$Q$68)/LOOKUP($A72,Barèmes!$A$65:$A$148,Barèmes!$C$65:$C$148),IF(AND($A72&gt;=$B$5+$B$4,$A72&lt;=INT($B$8)+$B$4-1),LOOKUP($A72,Retraite!$A$7:$A$47,Retraite!$K$7:$K$47)/LOOKUP($A72,Barèmes!$A$65:$A$148,Barèmes!$C$65:$C$148),IF($A72=INT($B$8+$B$4),(LOOKUP($A72,Retraite!$A$7:$A$47,Retraite!$K$7:$K$47)/LOOKUP($A72,Barèmes!$A$65:$A$148,Barèmes!$C$65:$C$148))*(1-(INT($B$8+1)-$B$8)),0)))</f>
        <v>33945.015482244147</v>
      </c>
      <c r="C72" s="121">
        <f ca="1">IF($A72&lt;$B$5+$B$4,-LOOKUP($A72,Cot_droits!$A$17:$A$68,Cot_droits!$Q$17:$Q$68)/LOOKUP($A72,Barèmes!$A$65:$A$148,Barèmes!$C$65:$C$148),IF(AND($A72&gt;=$B$5+$B$4,$A72&lt;=INT($B$8)-1+$B$4),LOOKUP($A72,Retraite!$A$7:$A$47,Retraite!N$7:$N$47)/LOOKUP($A72,Barèmes!$A$65:$A$148,Barèmes!$C$65:$C$148),IF($A72=INT($B$8+$B$4),(LOOKUP($A72,Retraite!$A$7:$A$47,Retraite!$N$7:$N$47)/LOOKUP($A72,Barèmes!$A$65:$A$148,Barèmes!$C$65:$C$148))*(1-(INT($B$8)+1-$B$8)),0)))</f>
        <v>30777.624912049374</v>
      </c>
      <c r="D72" s="115"/>
      <c r="E72" s="131">
        <f>IF($A72&lt;$B$5+$B$4,-(LOOKUP($A72,Cot_droits!$A$17:$A$68,Cot_droits!$H$17:$H$68)+LOOKUP($A72,Cot_droits!$A$17:$A$68,Cot_droits!$L$17:$L$68))/LOOKUP($A72,Barèmes!$A$65:$A$148,Barèmes!$C$65:$C$148),IF(AND($A72&gt;=$B$5+$B$4,$A72&lt;=INT($B$8)-1+$B$4),LOOKUP($A72,Retraite!$A$7:$A$47,Retraite!$L$7:$L$47)/LOOKUP($A72,Barèmes!$A$65:$A$148,Barèmes!$C$65:$C$148),IF($A72=INT($B$8+$B$4),(LOOKUP($A72,Retraite!$A$7:$A$47,Retraite!$L$7:$L$47)/LOOKUP($A72,Barèmes!$A$65:$A$148,Barèmes!$C$65:$C$148))*(1-(INT($B$8)+1-$B$8)),0)))</f>
        <v>26105.59935118855</v>
      </c>
      <c r="F72" s="121">
        <f ca="1">IF($A72&lt;$B$5+$B$4,-(LOOKUP($A72,Cot_droits!$A$17:$A$68,Cot_droits!$H$17:$H$68)+LOOKUP($A72,Cot_droits!$A$17:$A$68,Cot_droits!$L$17:$L$68))/LOOKUP($A72,Barèmes!$A$65:$A$148,Barèmes!$C$65:$C$148),IF(AND($A72&gt;=$B$5+$B$4,$A72&lt;=INT($B$8)-1+$B$4),LOOKUP($A72,Retraite!$A$7:$A$47,Retraite!$P$7:P$47)/LOOKUP($A72,Barèmes!$A$65:$A$148,Barèmes!$C$65:$C$148),IF($A72=INT($B$8+$B$4),(LOOKUP($A72,Retraite!$A$7:$A$47,Retraite!$P$7:$P$47)/LOOKUP($A72,Barèmes!$A$65:$A$148,Barèmes!$C$65:$C$148))*(1-(INT($B$8)+1-$B$8)),0)))</f>
        <v>23729.989810230392</v>
      </c>
      <c r="H72" s="131">
        <f ca="1">IF($A72&lt;$B$5+$B$4,-(LOOKUP($A72,Cot_droits!$A$17:$A$68,Cot_droits!$I$17:$I$68)+LOOKUP($A72,Cot_droits!$A$17:$A$68,Cot_droits!$J$17:$J$68)+LOOKUP($A72,Cot_droits!$A$17:$A$68,Cot_droits!$N$17:$N$68))/LOOKUP($A72,Barèmes!$A$65:$A$148,Barèmes!$C$65:$C$148),IF(AND($A72&gt;=$B$5+$B$4,$A72&lt;=INT($B$8)-1+$B$4),LOOKUP($A72,Retraite!$A$7:$A$47,Retraite!$M$7:$M$47)/LOOKUP($A72,Barèmes!$A$65:$A$148,Barèmes!$C$65:$C$148),IF($A72=INT($B$8+$B$4),(LOOKUP($A72,Retraite!$A$7:$A$47,Retraite!$M$7:$M$47)/LOOKUP($A72,Barèmes!$A$65:$A$148,Barèmes!$C$65:$C$148))*(1-(INT($B$8)+1-$B$8)),0)))</f>
        <v>7839.4161310555955</v>
      </c>
      <c r="I72" s="121">
        <f ca="1">IF($A72&lt;$B$5+$B$4,-(LOOKUP($A72,Cot_droits!$A$17:$A$68,Cot_droits!$I$17:$I$68)+LOOKUP($A72,Cot_droits!$A$17:$A$68,Cot_droits!$J$17:$J$68)+LOOKUP($A72,Cot_droits!$A$17:$A$68,Cot_droits!$N$17:$N$68))/LOOKUP($A72,Barèmes!$A$65:$A$148,Barèmes!$C$65:$C$148),IF(AND($A72&gt;=$B$5+$B$4,$A72&lt;=INT($B$8)-1+$B$4),LOOKUP($A72,Retraite!$A$7:$A$47,Retraite!$Q$7:Q$47)/LOOKUP($A72,Barèmes!$A$65:$A$148,Barèmes!$C$65:$C$148),IF($A72=INT($B$8+$B$4),(LOOKUP($A72,Retraite!$A$7:$A$47,Retraite!$Q$7:$Q$47)/LOOKUP($A72,Barèmes!$A$65:$A$148,Barèmes!$C$65:$C$148))*(1-(INT($B$8)+1-$B$8)),0)))</f>
        <v>7047.6351018189807</v>
      </c>
      <c r="J72" s="115"/>
    </row>
    <row r="73" spans="1:10" s="43" customFormat="1" ht="15.75" customHeight="1" x14ac:dyDescent="0.25">
      <c r="A73" s="125">
        <f t="shared" si="0"/>
        <v>2078</v>
      </c>
      <c r="B73" s="131">
        <f ca="1">IF($A73&lt;$B$5+$B$4,-LOOKUP($A73,Cot_droits!$A$17:$A$68,Cot_droits!$Q$17:$Q$68)/LOOKUP($A73,Barèmes!$A$65:$A$148,Barèmes!$C$65:$C$148),IF(AND($A73&gt;=$B$5+$B$4,$A73&lt;=INT($B$8)+$B$4-1),LOOKUP($A73,Retraite!$A$7:$A$47,Retraite!$K$7:$K$47)/LOOKUP($A73,Barèmes!$A$65:$A$148,Barèmes!$C$65:$C$148),IF($A73=INT($B$8+$B$4),(LOOKUP($A73,Retraite!$A$7:$A$47,Retraite!$K$7:$K$47)/LOOKUP($A73,Barèmes!$A$65:$A$148,Barèmes!$C$65:$C$148))*(1-(INT($B$8+1)-$B$8)),0)))</f>
        <v>33957.554695760897</v>
      </c>
      <c r="C73" s="121">
        <f ca="1">IF($A73&lt;$B$5+$B$4,-LOOKUP($A73,Cot_droits!$A$17:$A$68,Cot_droits!$Q$17:$Q$68)/LOOKUP($A73,Barèmes!$A$65:$A$148,Barèmes!$C$65:$C$148),IF(AND($A73&gt;=$B$5+$B$4,$A73&lt;=INT($B$8)-1+$B$4),LOOKUP($A73,Retraite!$A$7:$A$47,Retraite!N$7:$N$47)/LOOKUP($A73,Barèmes!$A$65:$A$148,Barèmes!$C$65:$C$148),IF($A73=INT($B$8+$B$4),(LOOKUP($A73,Retraite!$A$7:$A$47,Retraite!$N$7:$N$47)/LOOKUP($A73,Barèmes!$A$65:$A$148,Barèmes!$C$65:$C$148))*(1-(INT($B$8)+1-$B$8)),0)))</f>
        <v>30788.897665000932</v>
      </c>
      <c r="D73" s="115"/>
      <c r="E73" s="131">
        <f>IF($A73&lt;$B$5+$B$4,-(LOOKUP($A73,Cot_droits!$A$17:$A$68,Cot_droits!$H$17:$H$68)+LOOKUP($A73,Cot_droits!$A$17:$A$68,Cot_droits!$L$17:$L$68))/LOOKUP($A73,Barèmes!$A$65:$A$148,Barèmes!$C$65:$C$148),IF(AND($A73&gt;=$B$5+$B$4,$A73&lt;=INT($B$8)-1+$B$4),LOOKUP($A73,Retraite!$A$7:$A$47,Retraite!$L$7:$L$47)/LOOKUP($A73,Barèmes!$A$65:$A$148,Barèmes!$C$65:$C$148),IF($A73=INT($B$8+$B$4),(LOOKUP($A73,Retraite!$A$7:$A$47,Retraite!$L$7:$L$47)/LOOKUP($A73,Barèmes!$A$65:$A$148,Barèmes!$C$65:$C$148))*(1-(INT($B$8)+1-$B$8)),0)))</f>
        <v>26105.59935118855</v>
      </c>
      <c r="F73" s="121">
        <f ca="1">IF($A73&lt;$B$5+$B$4,-(LOOKUP($A73,Cot_droits!$A$17:$A$68,Cot_droits!$H$17:$H$68)+LOOKUP($A73,Cot_droits!$A$17:$A$68,Cot_droits!$L$17:$L$68))/LOOKUP($A73,Barèmes!$A$65:$A$148,Barèmes!$C$65:$C$148),IF(AND($A73&gt;=$B$5+$B$4,$A73&lt;=INT($B$8)-1+$B$4),LOOKUP($A73,Retraite!$A$7:$A$47,Retraite!$P$7:P$47)/LOOKUP($A73,Barèmes!$A$65:$A$148,Barèmes!$C$65:$C$148),IF($A73=INT($B$8+$B$4),(LOOKUP($A73,Retraite!$A$7:$A$47,Retraite!$P$7:$P$47)/LOOKUP($A73,Barèmes!$A$65:$A$148,Barèmes!$C$65:$C$148))*(1-(INT($B$8)+1-$B$8)),0)))</f>
        <v>23729.989810230392</v>
      </c>
      <c r="H73" s="131">
        <f ca="1">IF($A73&lt;$B$5+$B$4,-(LOOKUP($A73,Cot_droits!$A$17:$A$68,Cot_droits!$I$17:$I$68)+LOOKUP($A73,Cot_droits!$A$17:$A$68,Cot_droits!$J$17:$J$68)+LOOKUP($A73,Cot_droits!$A$17:$A$68,Cot_droits!$N$17:$N$68))/LOOKUP($A73,Barèmes!$A$65:$A$148,Barèmes!$C$65:$C$148),IF(AND($A73&gt;=$B$5+$B$4,$A73&lt;=INT($B$8)-1+$B$4),LOOKUP($A73,Retraite!$A$7:$A$47,Retraite!$M$7:$M$47)/LOOKUP($A73,Barèmes!$A$65:$A$148,Barèmes!$C$65:$C$148),IF($A73=INT($B$8+$B$4),(LOOKUP($A73,Retraite!$A$7:$A$47,Retraite!$M$7:$M$47)/LOOKUP($A73,Barèmes!$A$65:$A$148,Barèmes!$C$65:$C$148))*(1-(INT($B$8)+1-$B$8)),0)))</f>
        <v>7851.9553445723441</v>
      </c>
      <c r="I73" s="121">
        <f ca="1">IF($A73&lt;$B$5+$B$4,-(LOOKUP($A73,Cot_droits!$A$17:$A$68,Cot_droits!$I$17:$I$68)+LOOKUP($A73,Cot_droits!$A$17:$A$68,Cot_droits!$J$17:$J$68)+LOOKUP($A73,Cot_droits!$A$17:$A$68,Cot_droits!$N$17:$N$68))/LOOKUP($A73,Barèmes!$A$65:$A$148,Barèmes!$C$65:$C$148),IF(AND($A73&gt;=$B$5+$B$4,$A73&lt;=INT($B$8)-1+$B$4),LOOKUP($A73,Retraite!$A$7:$A$47,Retraite!$Q$7:Q$47)/LOOKUP($A73,Barèmes!$A$65:$A$148,Barèmes!$C$65:$C$148),IF($A73=INT($B$8+$B$4),(LOOKUP($A73,Retraite!$A$7:$A$47,Retraite!$Q$7:$Q$47)/LOOKUP($A73,Barèmes!$A$65:$A$148,Barèmes!$C$65:$C$148))*(1-(INT($B$8)+1-$B$8)),0)))</f>
        <v>7058.9078547705376</v>
      </c>
      <c r="J73" s="115"/>
    </row>
    <row r="74" spans="1:10" s="43" customFormat="1" ht="15.75" customHeight="1" x14ac:dyDescent="0.25">
      <c r="A74" s="125">
        <f t="shared" si="0"/>
        <v>2079</v>
      </c>
      <c r="B74" s="131">
        <f ca="1">IF($A74&lt;$B$5+$B$4,-LOOKUP($A74,Cot_droits!$A$17:$A$68,Cot_droits!$Q$17:$Q$68)/LOOKUP($A74,Barèmes!$A$65:$A$148,Barèmes!$C$65:$C$148),IF(AND($A74&gt;=$B$5+$B$4,$A74&lt;=INT($B$8)+$B$4-1),LOOKUP($A74,Retraite!$A$7:$A$47,Retraite!$K$7:$K$47)/LOOKUP($A74,Barèmes!$A$65:$A$148,Barèmes!$C$65:$C$148),IF($A74=INT($B$8+$B$4),(LOOKUP($A74,Retraite!$A$7:$A$47,Retraite!$K$7:$K$47)/LOOKUP($A74,Barèmes!$A$65:$A$148,Barèmes!$C$65:$C$148))*(1-(INT($B$8+1)-$B$8)),0)))</f>
        <v>33970.113965857498</v>
      </c>
      <c r="C74" s="121">
        <f ca="1">IF($A74&lt;$B$5+$B$4,-LOOKUP($A74,Cot_droits!$A$17:$A$68,Cot_droits!$Q$17:$Q$68)/LOOKUP($A74,Barèmes!$A$65:$A$148,Barèmes!$C$65:$C$148),IF(AND($A74&gt;=$B$5+$B$4,$A74&lt;=INT($B$8)-1+$B$4),LOOKUP($A74,Retraite!$A$7:$A$47,Retraite!N$7:$N$47)/LOOKUP($A74,Barèmes!$A$65:$A$148,Barèmes!$C$65:$C$148),IF($A74=INT($B$8+$B$4),(LOOKUP($A74,Retraite!$A$7:$A$47,Retraite!$N$7:$N$47)/LOOKUP($A74,Barèmes!$A$65:$A$148,Barèmes!$C$65:$C$148))*(1-(INT($B$8)+1-$B$8)),0)))</f>
        <v>30800.188448817778</v>
      </c>
      <c r="D74" s="115"/>
      <c r="E74" s="131">
        <f>IF($A74&lt;$B$5+$B$4,-(LOOKUP($A74,Cot_droits!$A$17:$A$68,Cot_droits!$H$17:$H$68)+LOOKUP($A74,Cot_droits!$A$17:$A$68,Cot_droits!$L$17:$L$68))/LOOKUP($A74,Barèmes!$A$65:$A$148,Barèmes!$C$65:$C$148),IF(AND($A74&gt;=$B$5+$B$4,$A74&lt;=INT($B$8)-1+$B$4),LOOKUP($A74,Retraite!$A$7:$A$47,Retraite!$L$7:$L$47)/LOOKUP($A74,Barèmes!$A$65:$A$148,Barèmes!$C$65:$C$148),IF($A74=INT($B$8+$B$4),(LOOKUP($A74,Retraite!$A$7:$A$47,Retraite!$L$7:$L$47)/LOOKUP($A74,Barèmes!$A$65:$A$148,Barèmes!$C$65:$C$148))*(1-(INT($B$8)+1-$B$8)),0)))</f>
        <v>26105.599351188554</v>
      </c>
      <c r="F74" s="121">
        <f ca="1">IF($A74&lt;$B$5+$B$4,-(LOOKUP($A74,Cot_droits!$A$17:$A$68,Cot_droits!$H$17:$H$68)+LOOKUP($A74,Cot_droits!$A$17:$A$68,Cot_droits!$L$17:$L$68))/LOOKUP($A74,Barèmes!$A$65:$A$148,Barèmes!$C$65:$C$148),IF(AND($A74&gt;=$B$5+$B$4,$A74&lt;=INT($B$8)-1+$B$4),LOOKUP($A74,Retraite!$A$7:$A$47,Retraite!$P$7:P$47)/LOOKUP($A74,Barèmes!$A$65:$A$148,Barèmes!$C$65:$C$148),IF($A74=INT($B$8+$B$4),(LOOKUP($A74,Retraite!$A$7:$A$47,Retraite!$P$7:$P$47)/LOOKUP($A74,Barèmes!$A$65:$A$148,Barèmes!$C$65:$C$148))*(1-(INT($B$8)+1-$B$8)),0)))</f>
        <v>23729.9898102304</v>
      </c>
      <c r="H74" s="131">
        <f ca="1">IF($A74&lt;$B$5+$B$4,-(LOOKUP($A74,Cot_droits!$A$17:$A$68,Cot_droits!$I$17:$I$68)+LOOKUP($A74,Cot_droits!$A$17:$A$68,Cot_droits!$J$17:$J$68)+LOOKUP($A74,Cot_droits!$A$17:$A$68,Cot_droits!$N$17:$N$68))/LOOKUP($A74,Barèmes!$A$65:$A$148,Barèmes!$C$65:$C$148),IF(AND($A74&gt;=$B$5+$B$4,$A74&lt;=INT($B$8)-1+$B$4),LOOKUP($A74,Retraite!$A$7:$A$47,Retraite!$M$7:$M$47)/LOOKUP($A74,Barèmes!$A$65:$A$148,Barèmes!$C$65:$C$148),IF($A74=INT($B$8+$B$4),(LOOKUP($A74,Retraite!$A$7:$A$47,Retraite!$M$7:$M$47)/LOOKUP($A74,Barèmes!$A$65:$A$148,Barèmes!$C$65:$C$148))*(1-(INT($B$8)+1-$B$8)),0)))</f>
        <v>7864.514614668944</v>
      </c>
      <c r="I74" s="121">
        <f ca="1">IF($A74&lt;$B$5+$B$4,-(LOOKUP($A74,Cot_droits!$A$17:$A$68,Cot_droits!$I$17:$I$68)+LOOKUP($A74,Cot_droits!$A$17:$A$68,Cot_droits!$J$17:$J$68)+LOOKUP($A74,Cot_droits!$A$17:$A$68,Cot_droits!$N$17:$N$68))/LOOKUP($A74,Barèmes!$A$65:$A$148,Barèmes!$C$65:$C$148),IF(AND($A74&gt;=$B$5+$B$4,$A74&lt;=INT($B$8)-1+$B$4),LOOKUP($A74,Retraite!$A$7:$A$47,Retraite!$Q$7:Q$47)/LOOKUP($A74,Barèmes!$A$65:$A$148,Barèmes!$C$65:$C$148),IF($A74=INT($B$8+$B$4),(LOOKUP($A74,Retraite!$A$7:$A$47,Retraite!$Q$7:$Q$47)/LOOKUP($A74,Barèmes!$A$65:$A$148,Barèmes!$C$65:$C$148))*(1-(INT($B$8)+1-$B$8)),0)))</f>
        <v>7070.1986385873806</v>
      </c>
      <c r="J74" s="115"/>
    </row>
    <row r="75" spans="1:10" s="43" customFormat="1" ht="15.75" customHeight="1" x14ac:dyDescent="0.25">
      <c r="A75" s="125">
        <f t="shared" si="0"/>
        <v>2080</v>
      </c>
      <c r="B75" s="131">
        <f ca="1">IF($A75&lt;$B$5+$B$4,-LOOKUP($A75,Cot_droits!$A$17:$A$68,Cot_droits!$Q$17:$Q$68)/LOOKUP($A75,Barèmes!$A$65:$A$148,Barèmes!$C$65:$C$148),IF(AND($A75&gt;=$B$5+$B$4,$A75&lt;=INT($B$8)+$B$4-1),LOOKUP($A75,Retraite!$A$7:$A$47,Retraite!$K$7:$K$47)/LOOKUP($A75,Barèmes!$A$65:$A$148,Barèmes!$C$65:$C$148),IF($A75=INT($B$8+$B$4),(LOOKUP($A75,Retraite!$A$7:$A$47,Retraite!$K$7:$K$47)/LOOKUP($A75,Barèmes!$A$65:$A$148,Barèmes!$C$65:$C$148))*(1-(INT($B$8+1)-$B$8)),0)))</f>
        <v>33982.693324614622</v>
      </c>
      <c r="C75" s="121">
        <f ca="1">IF($A75&lt;$B$5+$B$4,-LOOKUP($A75,Cot_droits!$A$17:$A$68,Cot_droits!$Q$17:$Q$68)/LOOKUP($A75,Barèmes!$A$65:$A$148,Barèmes!$C$65:$C$148),IF(AND($A75&gt;=$B$5+$B$4,$A75&lt;=INT($B$8)-1+$B$4),LOOKUP($A75,Retraite!$A$7:$A$47,Retraite!N$7:$N$47)/LOOKUP($A75,Barèmes!$A$65:$A$148,Barèmes!$C$65:$C$148),IF($A75=INT($B$8+$B$4),(LOOKUP($A75,Retraite!$A$7:$A$47,Retraite!$N$7:$N$47)/LOOKUP($A75,Barèmes!$A$65:$A$148,Barèmes!$C$65:$C$148))*(1-(INT($B$8)+1-$B$8)),0)))</f>
        <v>30811.497292340435</v>
      </c>
      <c r="D75" s="115"/>
      <c r="E75" s="131">
        <f>IF($A75&lt;$B$5+$B$4,-(LOOKUP($A75,Cot_droits!$A$17:$A$68,Cot_droits!$H$17:$H$68)+LOOKUP($A75,Cot_droits!$A$17:$A$68,Cot_droits!$L$17:$L$68))/LOOKUP($A75,Barèmes!$A$65:$A$148,Barèmes!$C$65:$C$148),IF(AND($A75&gt;=$B$5+$B$4,$A75&lt;=INT($B$8)-1+$B$4),LOOKUP($A75,Retraite!$A$7:$A$47,Retraite!$L$7:$L$47)/LOOKUP($A75,Barèmes!$A$65:$A$148,Barèmes!$C$65:$C$148),IF($A75=INT($B$8+$B$4),(LOOKUP($A75,Retraite!$A$7:$A$47,Retraite!$L$7:$L$47)/LOOKUP($A75,Barèmes!$A$65:$A$148,Barèmes!$C$65:$C$148))*(1-(INT($B$8)+1-$B$8)),0)))</f>
        <v>26105.599351188554</v>
      </c>
      <c r="F75" s="121">
        <f ca="1">IF($A75&lt;$B$5+$B$4,-(LOOKUP($A75,Cot_droits!$A$17:$A$68,Cot_droits!$H$17:$H$68)+LOOKUP($A75,Cot_droits!$A$17:$A$68,Cot_droits!$L$17:$L$68))/LOOKUP($A75,Barèmes!$A$65:$A$148,Barèmes!$C$65:$C$148),IF(AND($A75&gt;=$B$5+$B$4,$A75&lt;=INT($B$8)-1+$B$4),LOOKUP($A75,Retraite!$A$7:$A$47,Retraite!$P$7:P$47)/LOOKUP($A75,Barèmes!$A$65:$A$148,Barèmes!$C$65:$C$148),IF($A75=INT($B$8+$B$4),(LOOKUP($A75,Retraite!$A$7:$A$47,Retraite!$P$7:$P$47)/LOOKUP($A75,Barèmes!$A$65:$A$148,Barèmes!$C$65:$C$148))*(1-(INT($B$8)+1-$B$8)),0)))</f>
        <v>23729.989810230396</v>
      </c>
      <c r="H75" s="131">
        <f ca="1">IF($A75&lt;$B$5+$B$4,-(LOOKUP($A75,Cot_droits!$A$17:$A$68,Cot_droits!$I$17:$I$68)+LOOKUP($A75,Cot_droits!$A$17:$A$68,Cot_droits!$J$17:$J$68)+LOOKUP($A75,Cot_droits!$A$17:$A$68,Cot_droits!$N$17:$N$68))/LOOKUP($A75,Barèmes!$A$65:$A$148,Barèmes!$C$65:$C$148),IF(AND($A75&gt;=$B$5+$B$4,$A75&lt;=INT($B$8)-1+$B$4),LOOKUP($A75,Retraite!$A$7:$A$47,Retraite!$M$7:$M$47)/LOOKUP($A75,Barèmes!$A$65:$A$148,Barèmes!$C$65:$C$148),IF($A75=INT($B$8+$B$4),(LOOKUP($A75,Retraite!$A$7:$A$47,Retraite!$M$7:$M$47)/LOOKUP($A75,Barèmes!$A$65:$A$148,Barèmes!$C$65:$C$148))*(1-(INT($B$8)+1-$B$8)),0)))</f>
        <v>7877.0939734260683</v>
      </c>
      <c r="I75" s="121">
        <f ca="1">IF($A75&lt;$B$5+$B$4,-(LOOKUP($A75,Cot_droits!$A$17:$A$68,Cot_droits!$I$17:$I$68)+LOOKUP($A75,Cot_droits!$A$17:$A$68,Cot_droits!$J$17:$J$68)+LOOKUP($A75,Cot_droits!$A$17:$A$68,Cot_droits!$N$17:$N$68))/LOOKUP($A75,Barèmes!$A$65:$A$148,Barèmes!$C$65:$C$148),IF(AND($A75&gt;=$B$5+$B$4,$A75&lt;=INT($B$8)-1+$B$4),LOOKUP($A75,Retraite!$A$7:$A$47,Retraite!$Q$7:Q$47)/LOOKUP($A75,Barèmes!$A$65:$A$148,Barèmes!$C$65:$C$148),IF($A75=INT($B$8+$B$4),(LOOKUP($A75,Retraite!$A$7:$A$47,Retraite!$Q$7:$Q$47)/LOOKUP($A75,Barèmes!$A$65:$A$148,Barèmes!$C$65:$C$148))*(1-(INT($B$8)+1-$B$8)),0)))</f>
        <v>7081.5074821100361</v>
      </c>
      <c r="J75" s="115"/>
    </row>
    <row r="76" spans="1:10" s="43" customFormat="1" ht="15.75" customHeight="1" x14ac:dyDescent="0.25">
      <c r="A76" s="125">
        <f t="shared" si="0"/>
        <v>2081</v>
      </c>
      <c r="B76" s="131">
        <f ca="1">IF($A76&lt;$B$5+$B$4,-LOOKUP($A76,Cot_droits!$A$17:$A$68,Cot_droits!$Q$17:$Q$68)/LOOKUP($A76,Barèmes!$A$65:$A$148,Barèmes!$C$65:$C$148),IF(AND($A76&gt;=$B$5+$B$4,$A76&lt;=INT($B$8)+$B$4-1),LOOKUP($A76,Retraite!$A$7:$A$47,Retraite!$K$7:$K$47)/LOOKUP($A76,Barèmes!$A$65:$A$148,Barèmes!$C$65:$C$148),IF($A76=INT($B$8+$B$4),(LOOKUP($A76,Retraite!$A$7:$A$47,Retraite!$K$7:$K$47)/LOOKUP($A76,Barèmes!$A$65:$A$148,Barèmes!$C$65:$C$148))*(1-(INT($B$8+1)-$B$8)),0)))</f>
        <v>33995.292804164252</v>
      </c>
      <c r="C76" s="121">
        <f ca="1">IF($A76&lt;$B$5+$B$4,-LOOKUP($A76,Cot_droits!$A$17:$A$68,Cot_droits!$Q$17:$Q$68)/LOOKUP($A76,Barèmes!$A$65:$A$148,Barèmes!$C$65:$C$148),IF(AND($A76&gt;=$B$5+$B$4,$A76&lt;=INT($B$8)-1+$B$4),LOOKUP($A76,Retraite!$A$7:$A$47,Retraite!N$7:$N$47)/LOOKUP($A76,Barèmes!$A$65:$A$148,Barèmes!$C$65:$C$148),IF($A76=INT($B$8+$B$4),(LOOKUP($A76,Retraite!$A$7:$A$47,Retraite!$N$7:$N$47)/LOOKUP($A76,Barèmes!$A$65:$A$148,Barèmes!$C$65:$C$148))*(1-(INT($B$8)+1-$B$8)),0)))</f>
        <v>30822.824224455551</v>
      </c>
      <c r="D76" s="115"/>
      <c r="E76" s="131">
        <f>IF($A76&lt;$B$5+$B$4,-(LOOKUP($A76,Cot_droits!$A$17:$A$68,Cot_droits!$H$17:$H$68)+LOOKUP($A76,Cot_droits!$A$17:$A$68,Cot_droits!$L$17:$L$68))/LOOKUP($A76,Barèmes!$A$65:$A$148,Barèmes!$C$65:$C$148),IF(AND($A76&gt;=$B$5+$B$4,$A76&lt;=INT($B$8)-1+$B$4),LOOKUP($A76,Retraite!$A$7:$A$47,Retraite!$L$7:$L$47)/LOOKUP($A76,Barèmes!$A$65:$A$148,Barèmes!$C$65:$C$148),IF($A76=INT($B$8+$B$4),(LOOKUP($A76,Retraite!$A$7:$A$47,Retraite!$L$7:$L$47)/LOOKUP($A76,Barèmes!$A$65:$A$148,Barèmes!$C$65:$C$148))*(1-(INT($B$8)+1-$B$8)),0)))</f>
        <v>26105.599351188554</v>
      </c>
      <c r="F76" s="121">
        <f ca="1">IF($A76&lt;$B$5+$B$4,-(LOOKUP($A76,Cot_droits!$A$17:$A$68,Cot_droits!$H$17:$H$68)+LOOKUP($A76,Cot_droits!$A$17:$A$68,Cot_droits!$L$17:$L$68))/LOOKUP($A76,Barèmes!$A$65:$A$148,Barèmes!$C$65:$C$148),IF(AND($A76&gt;=$B$5+$B$4,$A76&lt;=INT($B$8)-1+$B$4),LOOKUP($A76,Retraite!$A$7:$A$47,Retraite!$P$7:P$47)/LOOKUP($A76,Barèmes!$A$65:$A$148,Barèmes!$C$65:$C$148),IF($A76=INT($B$8+$B$4),(LOOKUP($A76,Retraite!$A$7:$A$47,Retraite!$P$7:$P$47)/LOOKUP($A76,Barèmes!$A$65:$A$148,Barèmes!$C$65:$C$148))*(1-(INT($B$8)+1-$B$8)),0)))</f>
        <v>23729.989810230396</v>
      </c>
      <c r="H76" s="131">
        <f ca="1">IF($A76&lt;$B$5+$B$4,-(LOOKUP($A76,Cot_droits!$A$17:$A$68,Cot_droits!$I$17:$I$68)+LOOKUP($A76,Cot_droits!$A$17:$A$68,Cot_droits!$J$17:$J$68)+LOOKUP($A76,Cot_droits!$A$17:$A$68,Cot_droits!$N$17:$N$68))/LOOKUP($A76,Barèmes!$A$65:$A$148,Barèmes!$C$65:$C$148),IF(AND($A76&gt;=$B$5+$B$4,$A76&lt;=INT($B$8)-1+$B$4),LOOKUP($A76,Retraite!$A$7:$A$47,Retraite!$M$7:$M$47)/LOOKUP($A76,Barèmes!$A$65:$A$148,Barèmes!$C$65:$C$148),IF($A76=INT($B$8+$B$4),(LOOKUP($A76,Retraite!$A$7:$A$47,Retraite!$M$7:$M$47)/LOOKUP($A76,Barèmes!$A$65:$A$148,Barèmes!$C$65:$C$148))*(1-(INT($B$8)+1-$B$8)),0)))</f>
        <v>7889.6934529756991</v>
      </c>
      <c r="I76" s="121">
        <f ca="1">IF($A76&lt;$B$5+$B$4,-(LOOKUP($A76,Cot_droits!$A$17:$A$68,Cot_droits!$I$17:$I$68)+LOOKUP($A76,Cot_droits!$A$17:$A$68,Cot_droits!$J$17:$J$68)+LOOKUP($A76,Cot_droits!$A$17:$A$68,Cot_droits!$N$17:$N$68))/LOOKUP($A76,Barèmes!$A$65:$A$148,Barèmes!$C$65:$C$148),IF(AND($A76&gt;=$B$5+$B$4,$A76&lt;=INT($B$8)-1+$B$4),LOOKUP($A76,Retraite!$A$7:$A$47,Retraite!$Q$7:Q$47)/LOOKUP($A76,Barèmes!$A$65:$A$148,Barèmes!$C$65:$C$148),IF($A76=INT($B$8+$B$4),(LOOKUP($A76,Retraite!$A$7:$A$47,Retraite!$Q$7:$Q$47)/LOOKUP($A76,Barèmes!$A$65:$A$148,Barèmes!$C$65:$C$148))*(1-(INT($B$8)+1-$B$8)),0)))</f>
        <v>7092.8344142251544</v>
      </c>
      <c r="J76" s="115"/>
    </row>
    <row r="77" spans="1:10" s="43" customFormat="1" ht="15.75" customHeight="1" x14ac:dyDescent="0.25">
      <c r="A77" s="125">
        <f t="shared" si="0"/>
        <v>2082</v>
      </c>
      <c r="B77" s="131">
        <f ca="1">IF($A77&lt;$B$5+$B$4,-LOOKUP($A77,Cot_droits!$A$17:$A$68,Cot_droits!$Q$17:$Q$68)/LOOKUP($A77,Barèmes!$A$65:$A$148,Barèmes!$C$65:$C$148),IF(AND($A77&gt;=$B$5+$B$4,$A77&lt;=INT($B$8)+$B$4-1),LOOKUP($A77,Retraite!$A$7:$A$47,Retraite!$K$7:$K$47)/LOOKUP($A77,Barèmes!$A$65:$A$148,Barèmes!$C$65:$C$148),IF($A77=INT($B$8+$B$4),(LOOKUP($A77,Retraite!$A$7:$A$47,Retraite!$K$7:$K$47)/LOOKUP($A77,Barèmes!$A$65:$A$148,Barèmes!$C$65:$C$148))*(1-(INT($B$8+1)-$B$8)),0)))</f>
        <v>34007.912436689774</v>
      </c>
      <c r="C77" s="121">
        <f ca="1">IF($A77&lt;$B$5+$B$4,-LOOKUP($A77,Cot_droits!$A$17:$A$68,Cot_droits!$Q$17:$Q$68)/LOOKUP($A77,Barèmes!$A$65:$A$148,Barèmes!$C$65:$C$148),IF(AND($A77&gt;=$B$5+$B$4,$A77&lt;=INT($B$8)-1+$B$4),LOOKUP($A77,Retraite!$A$7:$A$47,Retraite!N$7:$N$47)/LOOKUP($A77,Barèmes!$A$65:$A$148,Barèmes!$C$65:$C$148),IF($A77=INT($B$8+$B$4),(LOOKUP($A77,Retraite!$A$7:$A$47,Retraite!$N$7:$N$47)/LOOKUP($A77,Barèmes!$A$65:$A$148,Barèmes!$C$65:$C$148))*(1-(INT($B$8)+1-$B$8)),0)))</f>
        <v>30834.169274095995</v>
      </c>
      <c r="D77" s="115"/>
      <c r="E77" s="131">
        <f>IF($A77&lt;$B$5+$B$4,-(LOOKUP($A77,Cot_droits!$A$17:$A$68,Cot_droits!$H$17:$H$68)+LOOKUP($A77,Cot_droits!$A$17:$A$68,Cot_droits!$L$17:$L$68))/LOOKUP($A77,Barèmes!$A$65:$A$148,Barèmes!$C$65:$C$148),IF(AND($A77&gt;=$B$5+$B$4,$A77&lt;=INT($B$8)-1+$B$4),LOOKUP($A77,Retraite!$A$7:$A$47,Retraite!$L$7:$L$47)/LOOKUP($A77,Barèmes!$A$65:$A$148,Barèmes!$C$65:$C$148),IF($A77=INT($B$8+$B$4),(LOOKUP($A77,Retraite!$A$7:$A$47,Retraite!$L$7:$L$47)/LOOKUP($A77,Barèmes!$A$65:$A$148,Barèmes!$C$65:$C$148))*(1-(INT($B$8)+1-$B$8)),0)))</f>
        <v>26105.599351188554</v>
      </c>
      <c r="F77" s="121">
        <f ca="1">IF($A77&lt;$B$5+$B$4,-(LOOKUP($A77,Cot_droits!$A$17:$A$68,Cot_droits!$H$17:$H$68)+LOOKUP($A77,Cot_droits!$A$17:$A$68,Cot_droits!$L$17:$L$68))/LOOKUP($A77,Barèmes!$A$65:$A$148,Barèmes!$C$65:$C$148),IF(AND($A77&gt;=$B$5+$B$4,$A77&lt;=INT($B$8)-1+$B$4),LOOKUP($A77,Retraite!$A$7:$A$47,Retraite!$P$7:P$47)/LOOKUP($A77,Barèmes!$A$65:$A$148,Barèmes!$C$65:$C$148),IF($A77=INT($B$8+$B$4),(LOOKUP($A77,Retraite!$A$7:$A$47,Retraite!$P$7:$P$47)/LOOKUP($A77,Barèmes!$A$65:$A$148,Barèmes!$C$65:$C$148))*(1-(INT($B$8)+1-$B$8)),0)))</f>
        <v>23729.9898102304</v>
      </c>
      <c r="H77" s="131">
        <f ca="1">IF($A77&lt;$B$5+$B$4,-(LOOKUP($A77,Cot_droits!$A$17:$A$68,Cot_droits!$I$17:$I$68)+LOOKUP($A77,Cot_droits!$A$17:$A$68,Cot_droits!$J$17:$J$68)+LOOKUP($A77,Cot_droits!$A$17:$A$68,Cot_droits!$N$17:$N$68))/LOOKUP($A77,Barèmes!$A$65:$A$148,Barèmes!$C$65:$C$148),IF(AND($A77&gt;=$B$5+$B$4,$A77&lt;=INT($B$8)-1+$B$4),LOOKUP($A77,Retraite!$A$7:$A$47,Retraite!$M$7:$M$47)/LOOKUP($A77,Barèmes!$A$65:$A$148,Barèmes!$C$65:$C$148),IF($A77=INT($B$8+$B$4),(LOOKUP($A77,Retraite!$A$7:$A$47,Retraite!$M$7:$M$47)/LOOKUP($A77,Barèmes!$A$65:$A$148,Barèmes!$C$65:$C$148))*(1-(INT($B$8)+1-$B$8)),0)))</f>
        <v>7902.3130855012214</v>
      </c>
      <c r="I77" s="121">
        <f ca="1">IF($A77&lt;$B$5+$B$4,-(LOOKUP($A77,Cot_droits!$A$17:$A$68,Cot_droits!$I$17:$I$68)+LOOKUP($A77,Cot_droits!$A$17:$A$68,Cot_droits!$J$17:$J$68)+LOOKUP($A77,Cot_droits!$A$17:$A$68,Cot_droits!$N$17:$N$68))/LOOKUP($A77,Barèmes!$A$65:$A$148,Barèmes!$C$65:$C$148),IF(AND($A77&gt;=$B$5+$B$4,$A77&lt;=INT($B$8)-1+$B$4),LOOKUP($A77,Retraite!$A$7:$A$47,Retraite!$Q$7:Q$47)/LOOKUP($A77,Barèmes!$A$65:$A$148,Barèmes!$C$65:$C$148),IF($A77=INT($B$8+$B$4),(LOOKUP($A77,Retraite!$A$7:$A$47,Retraite!$Q$7:$Q$47)/LOOKUP($A77,Barèmes!$A$65:$A$148,Barèmes!$C$65:$C$148))*(1-(INT($B$8)+1-$B$8)),0)))</f>
        <v>7104.1794638655983</v>
      </c>
      <c r="J77" s="115"/>
    </row>
    <row r="78" spans="1:10" s="43" customFormat="1" ht="15.75" customHeight="1" x14ac:dyDescent="0.25">
      <c r="A78" s="125">
        <f t="shared" ref="A78:A95" si="1">A77+1</f>
        <v>2083</v>
      </c>
      <c r="B78" s="131">
        <f ca="1">IF($A78&lt;$B$5+$B$4,-LOOKUP($A78,Cot_droits!$A$17:$A$68,Cot_droits!$Q$17:$Q$68)/LOOKUP($A78,Barèmes!$A$65:$A$148,Barèmes!$C$65:$C$148),IF(AND($A78&gt;=$B$5+$B$4,$A78&lt;=INT($B$8)+$B$4-1),LOOKUP($A78,Retraite!$A$7:$A$47,Retraite!$K$7:$K$47)/LOOKUP($A78,Barèmes!$A$65:$A$148,Barèmes!$C$65:$C$148),IF($A78=INT($B$8+$B$4),(LOOKUP($A78,Retraite!$A$7:$A$47,Retraite!$K$7:$K$47)/LOOKUP($A78,Barèmes!$A$65:$A$148,Barèmes!$C$65:$C$148))*(1-(INT($B$8+1)-$B$8)),0)))</f>
        <v>34020.552254426046</v>
      </c>
      <c r="C78" s="121">
        <f ca="1">IF($A78&lt;$B$5+$B$4,-LOOKUP($A78,Cot_droits!$A$17:$A$68,Cot_droits!$Q$17:$Q$68)/LOOKUP($A78,Barèmes!$A$65:$A$148,Barèmes!$C$65:$C$148),IF(AND($A78&gt;=$B$5+$B$4,$A78&lt;=INT($B$8)-1+$B$4),LOOKUP($A78,Retraite!$A$7:$A$47,Retraite!N$7:$N$47)/LOOKUP($A78,Barèmes!$A$65:$A$148,Barèmes!$C$65:$C$148),IF($A78=INT($B$8+$B$4),(LOOKUP($A78,Retraite!$A$7:$A$47,Retraite!$N$7:$N$47)/LOOKUP($A78,Barèmes!$A$65:$A$148,Barèmes!$C$65:$C$148))*(1-(INT($B$8)+1-$B$8)),0)))</f>
        <v>30845.532470240902</v>
      </c>
      <c r="D78" s="115"/>
      <c r="E78" s="131">
        <f>IF($A78&lt;$B$5+$B$4,-(LOOKUP($A78,Cot_droits!$A$17:$A$68,Cot_droits!$H$17:$H$68)+LOOKUP($A78,Cot_droits!$A$17:$A$68,Cot_droits!$L$17:$L$68))/LOOKUP($A78,Barèmes!$A$65:$A$148,Barèmes!$C$65:$C$148),IF(AND($A78&gt;=$B$5+$B$4,$A78&lt;=INT($B$8)-1+$B$4),LOOKUP($A78,Retraite!$A$7:$A$47,Retraite!$L$7:$L$47)/LOOKUP($A78,Barèmes!$A$65:$A$148,Barèmes!$C$65:$C$148),IF($A78=INT($B$8+$B$4),(LOOKUP($A78,Retraite!$A$7:$A$47,Retraite!$L$7:$L$47)/LOOKUP($A78,Barèmes!$A$65:$A$148,Barèmes!$C$65:$C$148))*(1-(INT($B$8)+1-$B$8)),0)))</f>
        <v>26105.599351188554</v>
      </c>
      <c r="F78" s="121">
        <f ca="1">IF($A78&lt;$B$5+$B$4,-(LOOKUP($A78,Cot_droits!$A$17:$A$68,Cot_droits!$H$17:$H$68)+LOOKUP($A78,Cot_droits!$A$17:$A$68,Cot_droits!$L$17:$L$68))/LOOKUP($A78,Barèmes!$A$65:$A$148,Barèmes!$C$65:$C$148),IF(AND($A78&gt;=$B$5+$B$4,$A78&lt;=INT($B$8)-1+$B$4),LOOKUP($A78,Retraite!$A$7:$A$47,Retraite!$P$7:P$47)/LOOKUP($A78,Barèmes!$A$65:$A$148,Barèmes!$C$65:$C$148),IF($A78=INT($B$8+$B$4),(LOOKUP($A78,Retraite!$A$7:$A$47,Retraite!$P$7:$P$47)/LOOKUP($A78,Barèmes!$A$65:$A$148,Barèmes!$C$65:$C$148))*(1-(INT($B$8)+1-$B$8)),0)))</f>
        <v>23729.989810230396</v>
      </c>
      <c r="H78" s="131">
        <f ca="1">IF($A78&lt;$B$5+$B$4,-(LOOKUP($A78,Cot_droits!$A$17:$A$68,Cot_droits!$I$17:$I$68)+LOOKUP($A78,Cot_droits!$A$17:$A$68,Cot_droits!$J$17:$J$68)+LOOKUP($A78,Cot_droits!$A$17:$A$68,Cot_droits!$N$17:$N$68))/LOOKUP($A78,Barèmes!$A$65:$A$148,Barèmes!$C$65:$C$148),IF(AND($A78&gt;=$B$5+$B$4,$A78&lt;=INT($B$8)-1+$B$4),LOOKUP($A78,Retraite!$A$7:$A$47,Retraite!$M$7:$M$47)/LOOKUP($A78,Barèmes!$A$65:$A$148,Barèmes!$C$65:$C$148),IF($A78=INT($B$8+$B$4),(LOOKUP($A78,Retraite!$A$7:$A$47,Retraite!$M$7:$M$47)/LOOKUP($A78,Barèmes!$A$65:$A$148,Barèmes!$C$65:$C$148))*(1-(INT($B$8)+1-$B$8)),0)))</f>
        <v>7914.9529032374876</v>
      </c>
      <c r="I78" s="121">
        <f ca="1">IF($A78&lt;$B$5+$B$4,-(LOOKUP($A78,Cot_droits!$A$17:$A$68,Cot_droits!$I$17:$I$68)+LOOKUP($A78,Cot_droits!$A$17:$A$68,Cot_droits!$J$17:$J$68)+LOOKUP($A78,Cot_droits!$A$17:$A$68,Cot_droits!$N$17:$N$68))/LOOKUP($A78,Barèmes!$A$65:$A$148,Barèmes!$C$65:$C$148),IF(AND($A78&gt;=$B$5+$B$4,$A78&lt;=INT($B$8)-1+$B$4),LOOKUP($A78,Retraite!$A$7:$A$47,Retraite!$Q$7:Q$47)/LOOKUP($A78,Barèmes!$A$65:$A$148,Barèmes!$C$65:$C$148),IF($A78=INT($B$8+$B$4),(LOOKUP($A78,Retraite!$A$7:$A$47,Retraite!$Q$7:$Q$47)/LOOKUP($A78,Barèmes!$A$65:$A$148,Barèmes!$C$65:$C$148))*(1-(INT($B$8)+1-$B$8)),0)))</f>
        <v>7115.5426600105011</v>
      </c>
      <c r="J78" s="115"/>
    </row>
    <row r="79" spans="1:10" s="43" customFormat="1" ht="15.75" customHeight="1" x14ac:dyDescent="0.25">
      <c r="A79" s="125">
        <f t="shared" si="1"/>
        <v>2084</v>
      </c>
      <c r="B79" s="131">
        <f ca="1">IF($A79&lt;$B$5+$B$4,-LOOKUP($A79,Cot_droits!$A$17:$A$68,Cot_droits!$Q$17:$Q$68)/LOOKUP($A79,Barèmes!$A$65:$A$148,Barèmes!$C$65:$C$148),IF(AND($A79&gt;=$B$5+$B$4,$A79&lt;=INT($B$8)+$B$4-1),LOOKUP($A79,Retraite!$A$7:$A$47,Retraite!$K$7:$K$47)/LOOKUP($A79,Barèmes!$A$65:$A$148,Barèmes!$C$65:$C$148),IF($A79=INT($B$8+$B$4),(LOOKUP($A79,Retraite!$A$7:$A$47,Retraite!$K$7:$K$47)/LOOKUP($A79,Barèmes!$A$65:$A$148,Barèmes!$C$65:$C$148))*(1-(INT($B$8+1)-$B$8)),0)))</f>
        <v>34033.212289659474</v>
      </c>
      <c r="C79" s="121">
        <f ca="1">IF($A79&lt;$B$5+$B$4,-LOOKUP($A79,Cot_droits!$A$17:$A$68,Cot_droits!$Q$17:$Q$68)/LOOKUP($A79,Barèmes!$A$65:$A$148,Barèmes!$C$65:$C$148),IF(AND($A79&gt;=$B$5+$B$4,$A79&lt;=INT($B$8)-1+$B$4),LOOKUP($A79,Retraite!$A$7:$A$47,Retraite!N$7:$N$47)/LOOKUP($A79,Barèmes!$A$65:$A$148,Barèmes!$C$65:$C$148),IF($A79=INT($B$8+$B$4),(LOOKUP($A79,Retraite!$A$7:$A$47,Retraite!$N$7:$N$47)/LOOKUP($A79,Barèmes!$A$65:$A$148,Barèmes!$C$65:$C$148))*(1-(INT($B$8)+1-$B$8)),0)))</f>
        <v>30856.913841915753</v>
      </c>
      <c r="D79" s="115"/>
      <c r="E79" s="131">
        <f>IF($A79&lt;$B$5+$B$4,-(LOOKUP($A79,Cot_droits!$A$17:$A$68,Cot_droits!$H$17:$H$68)+LOOKUP($A79,Cot_droits!$A$17:$A$68,Cot_droits!$L$17:$L$68))/LOOKUP($A79,Barèmes!$A$65:$A$148,Barèmes!$C$65:$C$148),IF(AND($A79&gt;=$B$5+$B$4,$A79&lt;=INT($B$8)-1+$B$4),LOOKUP($A79,Retraite!$A$7:$A$47,Retraite!$L$7:$L$47)/LOOKUP($A79,Barèmes!$A$65:$A$148,Barèmes!$C$65:$C$148),IF($A79=INT($B$8+$B$4),(LOOKUP($A79,Retraite!$A$7:$A$47,Retraite!$L$7:$L$47)/LOOKUP($A79,Barèmes!$A$65:$A$148,Barèmes!$C$65:$C$148))*(1-(INT($B$8)+1-$B$8)),0)))</f>
        <v>26105.59935118855</v>
      </c>
      <c r="F79" s="121">
        <f ca="1">IF($A79&lt;$B$5+$B$4,-(LOOKUP($A79,Cot_droits!$A$17:$A$68,Cot_droits!$H$17:$H$68)+LOOKUP($A79,Cot_droits!$A$17:$A$68,Cot_droits!$L$17:$L$68))/LOOKUP($A79,Barèmes!$A$65:$A$148,Barèmes!$C$65:$C$148),IF(AND($A79&gt;=$B$5+$B$4,$A79&lt;=INT($B$8)-1+$B$4),LOOKUP($A79,Retraite!$A$7:$A$47,Retraite!$P$7:P$47)/LOOKUP($A79,Barèmes!$A$65:$A$148,Barèmes!$C$65:$C$148),IF($A79=INT($B$8+$B$4),(LOOKUP($A79,Retraite!$A$7:$A$47,Retraite!$P$7:$P$47)/LOOKUP($A79,Barèmes!$A$65:$A$148,Barèmes!$C$65:$C$148))*(1-(INT($B$8)+1-$B$8)),0)))</f>
        <v>23729.989810230396</v>
      </c>
      <c r="H79" s="131">
        <f ca="1">IF($A79&lt;$B$5+$B$4,-(LOOKUP($A79,Cot_droits!$A$17:$A$68,Cot_droits!$I$17:$I$68)+LOOKUP($A79,Cot_droits!$A$17:$A$68,Cot_droits!$J$17:$J$68)+LOOKUP($A79,Cot_droits!$A$17:$A$68,Cot_droits!$N$17:$N$68))/LOOKUP($A79,Barèmes!$A$65:$A$148,Barèmes!$C$65:$C$148),IF(AND($A79&gt;=$B$5+$B$4,$A79&lt;=INT($B$8)-1+$B$4),LOOKUP($A79,Retraite!$A$7:$A$47,Retraite!$M$7:$M$47)/LOOKUP($A79,Barèmes!$A$65:$A$148,Barèmes!$C$65:$C$148),IF($A79=INT($B$8+$B$4),(LOOKUP($A79,Retraite!$A$7:$A$47,Retraite!$M$7:$M$47)/LOOKUP($A79,Barèmes!$A$65:$A$148,Barèmes!$C$65:$C$148))*(1-(INT($B$8)+1-$B$8)),0)))</f>
        <v>7927.612938470922</v>
      </c>
      <c r="I79" s="121">
        <f ca="1">IF($A79&lt;$B$5+$B$4,-(LOOKUP($A79,Cot_droits!$A$17:$A$68,Cot_droits!$I$17:$I$68)+LOOKUP($A79,Cot_droits!$A$17:$A$68,Cot_droits!$J$17:$J$68)+LOOKUP($A79,Cot_droits!$A$17:$A$68,Cot_droits!$N$17:$N$68))/LOOKUP($A79,Barèmes!$A$65:$A$148,Barèmes!$C$65:$C$148),IF(AND($A79&gt;=$B$5+$B$4,$A79&lt;=INT($B$8)-1+$B$4),LOOKUP($A79,Retraite!$A$7:$A$47,Retraite!$Q$7:Q$47)/LOOKUP($A79,Barèmes!$A$65:$A$148,Barèmes!$C$65:$C$148),IF($A79=INT($B$8+$B$4),(LOOKUP($A79,Retraite!$A$7:$A$47,Retraite!$Q$7:$Q$47)/LOOKUP($A79,Barèmes!$A$65:$A$148,Barèmes!$C$65:$C$148))*(1-(INT($B$8)+1-$B$8)),0)))</f>
        <v>7126.9240316853593</v>
      </c>
      <c r="J79" s="115"/>
    </row>
    <row r="80" spans="1:10" s="43" customFormat="1" ht="15.75" customHeight="1" x14ac:dyDescent="0.25">
      <c r="A80" s="125">
        <f t="shared" si="1"/>
        <v>2085</v>
      </c>
      <c r="B80" s="131">
        <f ca="1">IF($A80&lt;$B$5+$B$4,-LOOKUP($A80,Cot_droits!$A$17:$A$68,Cot_droits!$Q$17:$Q$68)/LOOKUP($A80,Barèmes!$A$65:$A$148,Barèmes!$C$65:$C$148),IF(AND($A80&gt;=$B$5+$B$4,$A80&lt;=INT($B$8)+$B$4-1),LOOKUP($A80,Retraite!$A$7:$A$47,Retraite!$K$7:$K$47)/LOOKUP($A80,Barèmes!$A$65:$A$148,Barèmes!$C$65:$C$148),IF($A80=INT($B$8+$B$4),(LOOKUP($A80,Retraite!$A$7:$A$47,Retraite!$K$7:$K$47)/LOOKUP($A80,Barèmes!$A$65:$A$148,Barèmes!$C$65:$C$148))*(1-(INT($B$8+1)-$B$8)),0)))</f>
        <v>34045.892574728132</v>
      </c>
      <c r="C80" s="121">
        <f ca="1">IF($A80&lt;$B$5+$B$4,-LOOKUP($A80,Cot_droits!$A$17:$A$68,Cot_droits!$Q$17:$Q$68)/LOOKUP($A80,Barèmes!$A$65:$A$148,Barèmes!$C$65:$C$148),IF(AND($A80&gt;=$B$5+$B$4,$A80&lt;=INT($B$8)-1+$B$4),LOOKUP($A80,Retraite!$A$7:$A$47,Retraite!N$7:$N$47)/LOOKUP($A80,Barèmes!$A$65:$A$148,Barèmes!$C$65:$C$148),IF($A80=INT($B$8+$B$4),(LOOKUP($A80,Retraite!$A$7:$A$47,Retraite!$N$7:$N$47)/LOOKUP($A80,Barèmes!$A$65:$A$148,Barèmes!$C$65:$C$148))*(1-(INT($B$8)+1-$B$8)),0)))</f>
        <v>30868.313418192476</v>
      </c>
      <c r="D80" s="115"/>
      <c r="E80" s="131">
        <f>IF($A80&lt;$B$5+$B$4,-(LOOKUP($A80,Cot_droits!$A$17:$A$68,Cot_droits!$H$17:$H$68)+LOOKUP($A80,Cot_droits!$A$17:$A$68,Cot_droits!$L$17:$L$68))/LOOKUP($A80,Barèmes!$A$65:$A$148,Barèmes!$C$65:$C$148),IF(AND($A80&gt;=$B$5+$B$4,$A80&lt;=INT($B$8)-1+$B$4),LOOKUP($A80,Retraite!$A$7:$A$47,Retraite!$L$7:$L$47)/LOOKUP($A80,Barèmes!$A$65:$A$148,Barèmes!$C$65:$C$148),IF($A80=INT($B$8+$B$4),(LOOKUP($A80,Retraite!$A$7:$A$47,Retraite!$L$7:$L$47)/LOOKUP($A80,Barèmes!$A$65:$A$148,Barèmes!$C$65:$C$148))*(1-(INT($B$8)+1-$B$8)),0)))</f>
        <v>26105.59935118855</v>
      </c>
      <c r="F80" s="121">
        <f ca="1">IF($A80&lt;$B$5+$B$4,-(LOOKUP($A80,Cot_droits!$A$17:$A$68,Cot_droits!$H$17:$H$68)+LOOKUP($A80,Cot_droits!$A$17:$A$68,Cot_droits!$L$17:$L$68))/LOOKUP($A80,Barèmes!$A$65:$A$148,Barèmes!$C$65:$C$148),IF(AND($A80&gt;=$B$5+$B$4,$A80&lt;=INT($B$8)-1+$B$4),LOOKUP($A80,Retraite!$A$7:$A$47,Retraite!$P$7:P$47)/LOOKUP($A80,Barèmes!$A$65:$A$148,Barèmes!$C$65:$C$148),IF($A80=INT($B$8+$B$4),(LOOKUP($A80,Retraite!$A$7:$A$47,Retraite!$P$7:$P$47)/LOOKUP($A80,Barèmes!$A$65:$A$148,Barèmes!$C$65:$C$148))*(1-(INT($B$8)+1-$B$8)),0)))</f>
        <v>23729.989810230392</v>
      </c>
      <c r="H80" s="131">
        <f ca="1">IF($A80&lt;$B$5+$B$4,-(LOOKUP($A80,Cot_droits!$A$17:$A$68,Cot_droits!$I$17:$I$68)+LOOKUP($A80,Cot_droits!$A$17:$A$68,Cot_droits!$J$17:$J$68)+LOOKUP($A80,Cot_droits!$A$17:$A$68,Cot_droits!$N$17:$N$68))/LOOKUP($A80,Barèmes!$A$65:$A$148,Barèmes!$C$65:$C$148),IF(AND($A80&gt;=$B$5+$B$4,$A80&lt;=INT($B$8)-1+$B$4),LOOKUP($A80,Retraite!$A$7:$A$47,Retraite!$M$7:$M$47)/LOOKUP($A80,Barèmes!$A$65:$A$148,Barèmes!$C$65:$C$148),IF($A80=INT($B$8+$B$4),(LOOKUP($A80,Retraite!$A$7:$A$47,Retraite!$M$7:$M$47)/LOOKUP($A80,Barèmes!$A$65:$A$148,Barèmes!$C$65:$C$148))*(1-(INT($B$8)+1-$B$8)),0)))</f>
        <v>7940.293223539581</v>
      </c>
      <c r="I80" s="121">
        <f ca="1">IF($A80&lt;$B$5+$B$4,-(LOOKUP($A80,Cot_droits!$A$17:$A$68,Cot_droits!$I$17:$I$68)+LOOKUP($A80,Cot_droits!$A$17:$A$68,Cot_droits!$J$17:$J$68)+LOOKUP($A80,Cot_droits!$A$17:$A$68,Cot_droits!$N$17:$N$68))/LOOKUP($A80,Barèmes!$A$65:$A$148,Barèmes!$C$65:$C$148),IF(AND($A80&gt;=$B$5+$B$4,$A80&lt;=INT($B$8)-1+$B$4),LOOKUP($A80,Retraite!$A$7:$A$47,Retraite!$Q$7:Q$47)/LOOKUP($A80,Barèmes!$A$65:$A$148,Barèmes!$C$65:$C$148),IF($A80=INT($B$8+$B$4),(LOOKUP($A80,Retraite!$A$7:$A$47,Retraite!$Q$7:$Q$47)/LOOKUP($A80,Barèmes!$A$65:$A$148,Barèmes!$C$65:$C$148))*(1-(INT($B$8)+1-$B$8)),0)))</f>
        <v>7138.3236079620829</v>
      </c>
      <c r="J80" s="115"/>
    </row>
    <row r="81" spans="1:10" s="43" customFormat="1" ht="15.75" customHeight="1" x14ac:dyDescent="0.25">
      <c r="A81" s="125">
        <f t="shared" si="1"/>
        <v>2086</v>
      </c>
      <c r="B81" s="131">
        <f ca="1">IF($A81&lt;$B$5+$B$4,-LOOKUP($A81,Cot_droits!$A$17:$A$68,Cot_droits!$Q$17:$Q$68)/LOOKUP($A81,Barèmes!$A$65:$A$148,Barèmes!$C$65:$C$148),IF(AND($A81&gt;=$B$5+$B$4,$A81&lt;=INT($B$8)+$B$4-1),LOOKUP($A81,Retraite!$A$7:$A$47,Retraite!$K$7:$K$47)/LOOKUP($A81,Barèmes!$A$65:$A$148,Barèmes!$C$65:$C$148),IF($A81=INT($B$8+$B$4),(LOOKUP($A81,Retraite!$A$7:$A$47,Retraite!$K$7:$K$47)/LOOKUP($A81,Barèmes!$A$65:$A$148,Barèmes!$C$65:$C$148))*(1-(INT($B$8+1)-$B$8)),0)))</f>
        <v>34058.593142021797</v>
      </c>
      <c r="C81" s="121">
        <f ca="1">IF($A81&lt;$B$5+$B$4,-LOOKUP($A81,Cot_droits!$A$17:$A$68,Cot_droits!$Q$17:$Q$68)/LOOKUP($A81,Barèmes!$A$65:$A$148,Barèmes!$C$65:$C$148),IF(AND($A81&gt;=$B$5+$B$4,$A81&lt;=INT($B$8)-1+$B$4),LOOKUP($A81,Retraite!$A$7:$A$47,Retraite!N$7:$N$47)/LOOKUP($A81,Barèmes!$A$65:$A$148,Barèmes!$C$65:$C$148),IF($A81=INT($B$8+$B$4),(LOOKUP($A81,Retraite!$A$7:$A$47,Retraite!$N$7:$N$47)/LOOKUP($A81,Barèmes!$A$65:$A$148,Barèmes!$C$65:$C$148))*(1-(INT($B$8)+1-$B$8)),0)))</f>
        <v>30879.731228189488</v>
      </c>
      <c r="D81" s="115"/>
      <c r="E81" s="131">
        <f>IF($A81&lt;$B$5+$B$4,-(LOOKUP($A81,Cot_droits!$A$17:$A$68,Cot_droits!$H$17:$H$68)+LOOKUP($A81,Cot_droits!$A$17:$A$68,Cot_droits!$L$17:$L$68))/LOOKUP($A81,Barèmes!$A$65:$A$148,Barèmes!$C$65:$C$148),IF(AND($A81&gt;=$B$5+$B$4,$A81&lt;=INT($B$8)-1+$B$4),LOOKUP($A81,Retraite!$A$7:$A$47,Retraite!$L$7:$L$47)/LOOKUP($A81,Barèmes!$A$65:$A$148,Barèmes!$C$65:$C$148),IF($A81=INT($B$8+$B$4),(LOOKUP($A81,Retraite!$A$7:$A$47,Retraite!$L$7:$L$47)/LOOKUP($A81,Barèmes!$A$65:$A$148,Barèmes!$C$65:$C$148))*(1-(INT($B$8)+1-$B$8)),0)))</f>
        <v>26105.59935118855</v>
      </c>
      <c r="F81" s="121">
        <f ca="1">IF($A81&lt;$B$5+$B$4,-(LOOKUP($A81,Cot_droits!$A$17:$A$68,Cot_droits!$H$17:$H$68)+LOOKUP($A81,Cot_droits!$A$17:$A$68,Cot_droits!$L$17:$L$68))/LOOKUP($A81,Barèmes!$A$65:$A$148,Barèmes!$C$65:$C$148),IF(AND($A81&gt;=$B$5+$B$4,$A81&lt;=INT($B$8)-1+$B$4),LOOKUP($A81,Retraite!$A$7:$A$47,Retraite!$P$7:P$47)/LOOKUP($A81,Barèmes!$A$65:$A$148,Barèmes!$C$65:$C$148),IF($A81=INT($B$8+$B$4),(LOOKUP($A81,Retraite!$A$7:$A$47,Retraite!$P$7:$P$47)/LOOKUP($A81,Barèmes!$A$65:$A$148,Barèmes!$C$65:$C$148))*(1-(INT($B$8)+1-$B$8)),0)))</f>
        <v>23729.989810230392</v>
      </c>
      <c r="H81" s="131">
        <f ca="1">IF($A81&lt;$B$5+$B$4,-(LOOKUP($A81,Cot_droits!$A$17:$A$68,Cot_droits!$I$17:$I$68)+LOOKUP($A81,Cot_droits!$A$17:$A$68,Cot_droits!$J$17:$J$68)+LOOKUP($A81,Cot_droits!$A$17:$A$68,Cot_droits!$N$17:$N$68))/LOOKUP($A81,Barèmes!$A$65:$A$148,Barèmes!$C$65:$C$148),IF(AND($A81&gt;=$B$5+$B$4,$A81&lt;=INT($B$8)-1+$B$4),LOOKUP($A81,Retraite!$A$7:$A$47,Retraite!$M$7:$M$47)/LOOKUP($A81,Barèmes!$A$65:$A$148,Barèmes!$C$65:$C$148),IF($A81=INT($B$8+$B$4),(LOOKUP($A81,Retraite!$A$7:$A$47,Retraite!$M$7:$M$47)/LOOKUP($A81,Barèmes!$A$65:$A$148,Barèmes!$C$65:$C$148))*(1-(INT($B$8)+1-$B$8)),0)))</f>
        <v>7952.9937908332513</v>
      </c>
      <c r="I81" s="121">
        <f ca="1">IF($A81&lt;$B$5+$B$4,-(LOOKUP($A81,Cot_droits!$A$17:$A$68,Cot_droits!$I$17:$I$68)+LOOKUP($A81,Cot_droits!$A$17:$A$68,Cot_droits!$J$17:$J$68)+LOOKUP($A81,Cot_droits!$A$17:$A$68,Cot_droits!$N$17:$N$68))/LOOKUP($A81,Barèmes!$A$65:$A$148,Barèmes!$C$65:$C$148),IF(AND($A81&gt;=$B$5+$B$4,$A81&lt;=INT($B$8)-1+$B$4),LOOKUP($A81,Retraite!$A$7:$A$47,Retraite!$Q$7:Q$47)/LOOKUP($A81,Barèmes!$A$65:$A$148,Barèmes!$C$65:$C$148),IF($A81=INT($B$8+$B$4),(LOOKUP($A81,Retraite!$A$7:$A$47,Retraite!$Q$7:$Q$47)/LOOKUP($A81,Barèmes!$A$65:$A$148,Barèmes!$C$65:$C$148))*(1-(INT($B$8)+1-$B$8)),0)))</f>
        <v>7149.7414179590933</v>
      </c>
      <c r="J81" s="115"/>
    </row>
    <row r="82" spans="1:10" s="43" customFormat="1" ht="15.75" customHeight="1" x14ac:dyDescent="0.25">
      <c r="A82" s="125">
        <f t="shared" si="1"/>
        <v>2087</v>
      </c>
      <c r="B82" s="131">
        <f ca="1">IF($A82&lt;$B$5+$B$4,-LOOKUP($A82,Cot_droits!$A$17:$A$68,Cot_droits!$Q$17:$Q$68)/LOOKUP($A82,Barèmes!$A$65:$A$148,Barèmes!$C$65:$C$148),IF(AND($A82&gt;=$B$5+$B$4,$A82&lt;=INT($B$8)+$B$4-1),LOOKUP($A82,Retraite!$A$7:$A$47,Retraite!$K$7:$K$47)/LOOKUP($A82,Barèmes!$A$65:$A$148,Barèmes!$C$65:$C$148),IF($A82=INT($B$8+$B$4),(LOOKUP($A82,Retraite!$A$7:$A$47,Retraite!$K$7:$K$47)/LOOKUP($A82,Barèmes!$A$65:$A$148,Barèmes!$C$65:$C$148))*(1-(INT($B$8+1)-$B$8)),0)))</f>
        <v>34071.314023982071</v>
      </c>
      <c r="C82" s="121">
        <f ca="1">IF($A82&lt;$B$5+$B$4,-LOOKUP($A82,Cot_droits!$A$17:$A$68,Cot_droits!$Q$17:$Q$68)/LOOKUP($A82,Barèmes!$A$65:$A$148,Barèmes!$C$65:$C$148),IF(AND($A82&gt;=$B$5+$B$4,$A82&lt;=INT($B$8)-1+$B$4),LOOKUP($A82,Retraite!$A$7:$A$47,Retraite!N$7:$N$47)/LOOKUP($A82,Barèmes!$A$65:$A$148,Barèmes!$C$65:$C$148),IF($A82=INT($B$8+$B$4),(LOOKUP($A82,Retraite!$A$7:$A$47,Retraite!$N$7:$N$47)/LOOKUP($A82,Barèmes!$A$65:$A$148,Barèmes!$C$65:$C$148))*(1-(INT($B$8)+1-$B$8)),0)))</f>
        <v>30891.167301071768</v>
      </c>
      <c r="D82" s="115"/>
      <c r="E82" s="131">
        <f>IF($A82&lt;$B$5+$B$4,-(LOOKUP($A82,Cot_droits!$A$17:$A$68,Cot_droits!$H$17:$H$68)+LOOKUP($A82,Cot_droits!$A$17:$A$68,Cot_droits!$L$17:$L$68))/LOOKUP($A82,Barèmes!$A$65:$A$148,Barèmes!$C$65:$C$148),IF(AND($A82&gt;=$B$5+$B$4,$A82&lt;=INT($B$8)-1+$B$4),LOOKUP($A82,Retraite!$A$7:$A$47,Retraite!$L$7:$L$47)/LOOKUP($A82,Barèmes!$A$65:$A$148,Barèmes!$C$65:$C$148),IF($A82=INT($B$8+$B$4),(LOOKUP($A82,Retraite!$A$7:$A$47,Retraite!$L$7:$L$47)/LOOKUP($A82,Barèmes!$A$65:$A$148,Barèmes!$C$65:$C$148))*(1-(INT($B$8)+1-$B$8)),0)))</f>
        <v>26105.59935118855</v>
      </c>
      <c r="F82" s="121">
        <f ca="1">IF($A82&lt;$B$5+$B$4,-(LOOKUP($A82,Cot_droits!$A$17:$A$68,Cot_droits!$H$17:$H$68)+LOOKUP($A82,Cot_droits!$A$17:$A$68,Cot_droits!$L$17:$L$68))/LOOKUP($A82,Barèmes!$A$65:$A$148,Barèmes!$C$65:$C$148),IF(AND($A82&gt;=$B$5+$B$4,$A82&lt;=INT($B$8)-1+$B$4),LOOKUP($A82,Retraite!$A$7:$A$47,Retraite!$P$7:P$47)/LOOKUP($A82,Barèmes!$A$65:$A$148,Barèmes!$C$65:$C$148),IF($A82=INT($B$8+$B$4),(LOOKUP($A82,Retraite!$A$7:$A$47,Retraite!$P$7:$P$47)/LOOKUP($A82,Barèmes!$A$65:$A$148,Barèmes!$C$65:$C$148))*(1-(INT($B$8)+1-$B$8)),0)))</f>
        <v>23729.989810230389</v>
      </c>
      <c r="H82" s="131">
        <f ca="1">IF($A82&lt;$B$5+$B$4,-(LOOKUP($A82,Cot_droits!$A$17:$A$68,Cot_droits!$I$17:$I$68)+LOOKUP($A82,Cot_droits!$A$17:$A$68,Cot_droits!$J$17:$J$68)+LOOKUP($A82,Cot_droits!$A$17:$A$68,Cot_droits!$N$17:$N$68))/LOOKUP($A82,Barèmes!$A$65:$A$148,Barèmes!$C$65:$C$148),IF(AND($A82&gt;=$B$5+$B$4,$A82&lt;=INT($B$8)-1+$B$4),LOOKUP($A82,Retraite!$A$7:$A$47,Retraite!$M$7:$M$47)/LOOKUP($A82,Barèmes!$A$65:$A$148,Barèmes!$C$65:$C$148),IF($A82=INT($B$8+$B$4),(LOOKUP($A82,Retraite!$A$7:$A$47,Retraite!$M$7:$M$47)/LOOKUP($A82,Barèmes!$A$65:$A$148,Barèmes!$C$65:$C$148))*(1-(INT($B$8)+1-$B$8)),0)))</f>
        <v>7965.714672793526</v>
      </c>
      <c r="I82" s="121">
        <f ca="1">IF($A82&lt;$B$5+$B$4,-(LOOKUP($A82,Cot_droits!$A$17:$A$68,Cot_droits!$I$17:$I$68)+LOOKUP($A82,Cot_droits!$A$17:$A$68,Cot_droits!$J$17:$J$68)+LOOKUP($A82,Cot_droits!$A$17:$A$68,Cot_droits!$N$17:$N$68))/LOOKUP($A82,Barèmes!$A$65:$A$148,Barèmes!$C$65:$C$148),IF(AND($A82&gt;=$B$5+$B$4,$A82&lt;=INT($B$8)-1+$B$4),LOOKUP($A82,Retraite!$A$7:$A$47,Retraite!$Q$7:Q$47)/LOOKUP($A82,Barèmes!$A$65:$A$148,Barèmes!$C$65:$C$148),IF($A82=INT($B$8+$B$4),(LOOKUP($A82,Retraite!$A$7:$A$47,Retraite!$Q$7:$Q$47)/LOOKUP($A82,Barèmes!$A$65:$A$148,Barèmes!$C$65:$C$148))*(1-(INT($B$8)+1-$B$8)),0)))</f>
        <v>7161.1774908413799</v>
      </c>
      <c r="J82" s="115"/>
    </row>
    <row r="83" spans="1:10" s="43" customFormat="1" ht="15.75" customHeight="1" x14ac:dyDescent="0.25">
      <c r="A83" s="125">
        <f t="shared" si="1"/>
        <v>2088</v>
      </c>
      <c r="B83" s="131">
        <f ca="1">IF($A83&lt;$B$5+$B$4,-LOOKUP($A83,Cot_droits!$A$17:$A$68,Cot_droits!$Q$17:$Q$68)/LOOKUP($A83,Barèmes!$A$65:$A$148,Barèmes!$C$65:$C$148),IF(AND($A83&gt;=$B$5+$B$4,$A83&lt;=INT($B$8)+$B$4-1),LOOKUP($A83,Retraite!$A$7:$A$47,Retraite!$K$7:$K$47)/LOOKUP($A83,Barèmes!$A$65:$A$148,Barèmes!$C$65:$C$148),IF($A83=INT($B$8+$B$4),(LOOKUP($A83,Retraite!$A$7:$A$47,Retraite!$K$7:$K$47)/LOOKUP($A83,Barèmes!$A$65:$A$148,Barèmes!$C$65:$C$148))*(1-(INT($B$8+1)-$B$8)),0)))</f>
        <v>34084.055253102437</v>
      </c>
      <c r="C83" s="121">
        <f ca="1">IF($A83&lt;$B$5+$B$4,-LOOKUP($A83,Cot_droits!$A$17:$A$68,Cot_droits!$Q$17:$Q$68)/LOOKUP($A83,Barèmes!$A$65:$A$148,Barèmes!$C$65:$C$148),IF(AND($A83&gt;=$B$5+$B$4,$A83&lt;=INT($B$8)-1+$B$4),LOOKUP($A83,Retraite!$A$7:$A$47,Retraite!N$7:$N$47)/LOOKUP($A83,Barèmes!$A$65:$A$148,Barèmes!$C$65:$C$148),IF($A83=INT($B$8+$B$4),(LOOKUP($A83,Retraite!$A$7:$A$47,Retraite!$N$7:$N$47)/LOOKUP($A83,Barèmes!$A$65:$A$148,Barèmes!$C$65:$C$148))*(1-(INT($B$8)+1-$B$8)),0)))</f>
        <v>30902.621666050974</v>
      </c>
      <c r="D83" s="115"/>
      <c r="E83" s="131">
        <f>IF($A83&lt;$B$5+$B$4,-(LOOKUP($A83,Cot_droits!$A$17:$A$68,Cot_droits!$H$17:$H$68)+LOOKUP($A83,Cot_droits!$A$17:$A$68,Cot_droits!$L$17:$L$68))/LOOKUP($A83,Barèmes!$A$65:$A$148,Barèmes!$C$65:$C$148),IF(AND($A83&gt;=$B$5+$B$4,$A83&lt;=INT($B$8)-1+$B$4),LOOKUP($A83,Retraite!$A$7:$A$47,Retraite!$L$7:$L$47)/LOOKUP($A83,Barèmes!$A$65:$A$148,Barèmes!$C$65:$C$148),IF($A83=INT($B$8+$B$4),(LOOKUP($A83,Retraite!$A$7:$A$47,Retraite!$L$7:$L$47)/LOOKUP($A83,Barèmes!$A$65:$A$148,Barèmes!$C$65:$C$148))*(1-(INT($B$8)+1-$B$8)),0)))</f>
        <v>26105.599351188546</v>
      </c>
      <c r="F83" s="121">
        <f ca="1">IF($A83&lt;$B$5+$B$4,-(LOOKUP($A83,Cot_droits!$A$17:$A$68,Cot_droits!$H$17:$H$68)+LOOKUP($A83,Cot_droits!$A$17:$A$68,Cot_droits!$L$17:$L$68))/LOOKUP($A83,Barèmes!$A$65:$A$148,Barèmes!$C$65:$C$148),IF(AND($A83&gt;=$B$5+$B$4,$A83&lt;=INT($B$8)-1+$B$4),LOOKUP($A83,Retraite!$A$7:$A$47,Retraite!$P$7:P$47)/LOOKUP($A83,Barèmes!$A$65:$A$148,Barèmes!$C$65:$C$148),IF($A83=INT($B$8+$B$4),(LOOKUP($A83,Retraite!$A$7:$A$47,Retraite!$P$7:$P$47)/LOOKUP($A83,Barèmes!$A$65:$A$148,Barèmes!$C$65:$C$148))*(1-(INT($B$8)+1-$B$8)),0)))</f>
        <v>23729.989810230389</v>
      </c>
      <c r="H83" s="131">
        <f ca="1">IF($A83&lt;$B$5+$B$4,-(LOOKUP($A83,Cot_droits!$A$17:$A$68,Cot_droits!$I$17:$I$68)+LOOKUP($A83,Cot_droits!$A$17:$A$68,Cot_droits!$J$17:$J$68)+LOOKUP($A83,Cot_droits!$A$17:$A$68,Cot_droits!$N$17:$N$68))/LOOKUP($A83,Barèmes!$A$65:$A$148,Barèmes!$C$65:$C$148),IF(AND($A83&gt;=$B$5+$B$4,$A83&lt;=INT($B$8)-1+$B$4),LOOKUP($A83,Retraite!$A$7:$A$47,Retraite!$M$7:$M$47)/LOOKUP($A83,Barèmes!$A$65:$A$148,Barèmes!$C$65:$C$148),IF($A83=INT($B$8+$B$4),(LOOKUP($A83,Retraite!$A$7:$A$47,Retraite!$M$7:$M$47)/LOOKUP($A83,Barèmes!$A$65:$A$148,Barèmes!$C$65:$C$148))*(1-(INT($B$8)+1-$B$8)),0)))</f>
        <v>7978.4559019138896</v>
      </c>
      <c r="I83" s="121">
        <f ca="1">IF($A83&lt;$B$5+$B$4,-(LOOKUP($A83,Cot_droits!$A$17:$A$68,Cot_droits!$I$17:$I$68)+LOOKUP($A83,Cot_droits!$A$17:$A$68,Cot_droits!$J$17:$J$68)+LOOKUP($A83,Cot_droits!$A$17:$A$68,Cot_droits!$N$17:$N$68))/LOOKUP($A83,Barèmes!$A$65:$A$148,Barèmes!$C$65:$C$148),IF(AND($A83&gt;=$B$5+$B$4,$A83&lt;=INT($B$8)-1+$B$4),LOOKUP($A83,Retraite!$A$7:$A$47,Retraite!$Q$7:Q$47)/LOOKUP($A83,Barèmes!$A$65:$A$148,Barèmes!$C$65:$C$148),IF($A83=INT($B$8+$B$4),(LOOKUP($A83,Retraite!$A$7:$A$47,Retraite!$Q$7:$Q$47)/LOOKUP($A83,Barèmes!$A$65:$A$148,Barèmes!$C$65:$C$148))*(1-(INT($B$8)+1-$B$8)),0)))</f>
        <v>7172.6318558205876</v>
      </c>
      <c r="J83" s="115"/>
    </row>
    <row r="84" spans="1:10" s="43" customFormat="1" ht="15.75" customHeight="1" x14ac:dyDescent="0.25">
      <c r="A84" s="125">
        <f t="shared" si="1"/>
        <v>2089</v>
      </c>
      <c r="B84" s="131">
        <f ca="1">IF($A84&lt;$B$5+$B$4,-LOOKUP($A84,Cot_droits!$A$17:$A$68,Cot_droits!$Q$17:$Q$68)/LOOKUP($A84,Barèmes!$A$65:$A$148,Barèmes!$C$65:$C$148),IF(AND($A84&gt;=$B$5+$B$4,$A84&lt;=INT($B$8)+$B$4-1),LOOKUP($A84,Retraite!$A$7:$A$47,Retraite!$K$7:$K$47)/LOOKUP($A84,Barèmes!$A$65:$A$148,Barèmes!$C$65:$C$148),IF($A84=INT($B$8+$B$4),(LOOKUP($A84,Retraite!$A$7:$A$47,Retraite!$K$7:$K$47)/LOOKUP($A84,Barèmes!$A$65:$A$148,Barèmes!$C$65:$C$148))*(1-(INT($B$8+1)-$B$8)),0)))</f>
        <v>34096.816861928346</v>
      </c>
      <c r="C84" s="121">
        <f ca="1">IF($A84&lt;$B$5+$B$4,-LOOKUP($A84,Cot_droits!$A$17:$A$68,Cot_droits!$Q$17:$Q$68)/LOOKUP($A84,Barèmes!$A$65:$A$148,Barèmes!$C$65:$C$148),IF(AND($A84&gt;=$B$5+$B$4,$A84&lt;=INT($B$8)-1+$B$4),LOOKUP($A84,Retraite!$A$7:$A$47,Retraite!N$7:$N$47)/LOOKUP($A84,Barèmes!$A$65:$A$148,Barèmes!$C$65:$C$148),IF($A84=INT($B$8+$B$4),(LOOKUP($A84,Retraite!$A$7:$A$47,Retraite!$N$7:$N$47)/LOOKUP($A84,Barèmes!$A$65:$A$148,Barèmes!$C$65:$C$148))*(1-(INT($B$8)+1-$B$8)),0)))</f>
        <v>30914.094352385473</v>
      </c>
      <c r="D84" s="115"/>
      <c r="E84" s="131">
        <f>IF($A84&lt;$B$5+$B$4,-(LOOKUP($A84,Cot_droits!$A$17:$A$68,Cot_droits!$H$17:$H$68)+LOOKUP($A84,Cot_droits!$A$17:$A$68,Cot_droits!$L$17:$L$68))/LOOKUP($A84,Barèmes!$A$65:$A$148,Barèmes!$C$65:$C$148),IF(AND($A84&gt;=$B$5+$B$4,$A84&lt;=INT($B$8)-1+$B$4),LOOKUP($A84,Retraite!$A$7:$A$47,Retraite!$L$7:$L$47)/LOOKUP($A84,Barèmes!$A$65:$A$148,Barèmes!$C$65:$C$148),IF($A84=INT($B$8+$B$4),(LOOKUP($A84,Retraite!$A$7:$A$47,Retraite!$L$7:$L$47)/LOOKUP($A84,Barèmes!$A$65:$A$148,Barèmes!$C$65:$C$148))*(1-(INT($B$8)+1-$B$8)),0)))</f>
        <v>26105.599351188546</v>
      </c>
      <c r="F84" s="121">
        <f ca="1">IF($A84&lt;$B$5+$B$4,-(LOOKUP($A84,Cot_droits!$A$17:$A$68,Cot_droits!$H$17:$H$68)+LOOKUP($A84,Cot_droits!$A$17:$A$68,Cot_droits!$L$17:$L$68))/LOOKUP($A84,Barèmes!$A$65:$A$148,Barèmes!$C$65:$C$148),IF(AND($A84&gt;=$B$5+$B$4,$A84&lt;=INT($B$8)-1+$B$4),LOOKUP($A84,Retraite!$A$7:$A$47,Retraite!$P$7:P$47)/LOOKUP($A84,Barèmes!$A$65:$A$148,Barèmes!$C$65:$C$148),IF($A84=INT($B$8+$B$4),(LOOKUP($A84,Retraite!$A$7:$A$47,Retraite!$P$7:$P$47)/LOOKUP($A84,Barèmes!$A$65:$A$148,Barèmes!$C$65:$C$148))*(1-(INT($B$8)+1-$B$8)),0)))</f>
        <v>23729.989810230392</v>
      </c>
      <c r="H84" s="131">
        <f ca="1">IF($A84&lt;$B$5+$B$4,-(LOOKUP($A84,Cot_droits!$A$17:$A$68,Cot_droits!$I$17:$I$68)+LOOKUP($A84,Cot_droits!$A$17:$A$68,Cot_droits!$J$17:$J$68)+LOOKUP($A84,Cot_droits!$A$17:$A$68,Cot_droits!$N$17:$N$68))/LOOKUP($A84,Barèmes!$A$65:$A$148,Barèmes!$C$65:$C$148),IF(AND($A84&gt;=$B$5+$B$4,$A84&lt;=INT($B$8)-1+$B$4),LOOKUP($A84,Retraite!$A$7:$A$47,Retraite!$M$7:$M$47)/LOOKUP($A84,Barèmes!$A$65:$A$148,Barèmes!$C$65:$C$148),IF($A84=INT($B$8+$B$4),(LOOKUP($A84,Retraite!$A$7:$A$47,Retraite!$M$7:$M$47)/LOOKUP($A84,Barèmes!$A$65:$A$148,Barèmes!$C$65:$C$148))*(1-(INT($B$8)+1-$B$8)),0)))</f>
        <v>7991.2175107397998</v>
      </c>
      <c r="I84" s="121">
        <f ca="1">IF($A84&lt;$B$5+$B$4,-(LOOKUP($A84,Cot_droits!$A$17:$A$68,Cot_droits!$I$17:$I$68)+LOOKUP($A84,Cot_droits!$A$17:$A$68,Cot_droits!$J$17:$J$68)+LOOKUP($A84,Cot_droits!$A$17:$A$68,Cot_droits!$N$17:$N$68))/LOOKUP($A84,Barèmes!$A$65:$A$148,Barèmes!$C$65:$C$148),IF(AND($A84&gt;=$B$5+$B$4,$A84&lt;=INT($B$8)-1+$B$4),LOOKUP($A84,Retraite!$A$7:$A$47,Retraite!$Q$7:Q$47)/LOOKUP($A84,Barèmes!$A$65:$A$148,Barèmes!$C$65:$C$148),IF($A84=INT($B$8+$B$4),(LOOKUP($A84,Retraite!$A$7:$A$47,Retraite!$Q$7:$Q$47)/LOOKUP($A84,Barèmes!$A$65:$A$148,Barèmes!$C$65:$C$148))*(1-(INT($B$8)+1-$B$8)),0)))</f>
        <v>7184.1045421550798</v>
      </c>
      <c r="J84" s="115"/>
    </row>
    <row r="85" spans="1:10" s="43" customFormat="1" ht="15.75" customHeight="1" x14ac:dyDescent="0.25">
      <c r="A85" s="125">
        <f t="shared" si="1"/>
        <v>2090</v>
      </c>
      <c r="B85" s="131">
        <f ca="1">IF($A85&lt;$B$5+$B$4,-LOOKUP($A85,Cot_droits!$A$17:$A$68,Cot_droits!$Q$17:$Q$68)/LOOKUP($A85,Barèmes!$A$65:$A$148,Barèmes!$C$65:$C$148),IF(AND($A85&gt;=$B$5+$B$4,$A85&lt;=INT($B$8)+$B$4-1),LOOKUP($A85,Retraite!$A$7:$A$47,Retraite!$K$7:$K$47)/LOOKUP($A85,Barèmes!$A$65:$A$148,Barèmes!$C$65:$C$148),IF($A85=INT($B$8+$B$4),(LOOKUP($A85,Retraite!$A$7:$A$47,Retraite!$K$7:$K$47)/LOOKUP($A85,Barèmes!$A$65:$A$148,Barèmes!$C$65:$C$148))*(1-(INT($B$8+1)-$B$8)),0)))</f>
        <v>34109.598883057319</v>
      </c>
      <c r="C85" s="121">
        <f ca="1">IF($A85&lt;$B$5+$B$4,-LOOKUP($A85,Cot_droits!$A$17:$A$68,Cot_droits!$Q$17:$Q$68)/LOOKUP($A85,Barèmes!$A$65:$A$148,Barèmes!$C$65:$C$148),IF(AND($A85&gt;=$B$5+$B$4,$A85&lt;=INT($B$8)-1+$B$4),LOOKUP($A85,Retraite!$A$7:$A$47,Retraite!N$7:$N$47)/LOOKUP($A85,Barèmes!$A$65:$A$148,Barèmes!$C$65:$C$148),IF($A85=INT($B$8+$B$4),(LOOKUP($A85,Retraite!$A$7:$A$47,Retraite!$N$7:$N$47)/LOOKUP($A85,Barèmes!$A$65:$A$148,Barèmes!$C$65:$C$148))*(1-(INT($B$8)+1-$B$8)),0)))</f>
        <v>30925.58538938042</v>
      </c>
      <c r="D85" s="115"/>
      <c r="E85" s="131">
        <f>IF($A85&lt;$B$5+$B$4,-(LOOKUP($A85,Cot_droits!$A$17:$A$68,Cot_droits!$H$17:$H$68)+LOOKUP($A85,Cot_droits!$A$17:$A$68,Cot_droits!$L$17:$L$68))/LOOKUP($A85,Barèmes!$A$65:$A$148,Barèmes!$C$65:$C$148),IF(AND($A85&gt;=$B$5+$B$4,$A85&lt;=INT($B$8)-1+$B$4),LOOKUP($A85,Retraite!$A$7:$A$47,Retraite!$L$7:$L$47)/LOOKUP($A85,Barèmes!$A$65:$A$148,Barèmes!$C$65:$C$148),IF($A85=INT($B$8+$B$4),(LOOKUP($A85,Retraite!$A$7:$A$47,Retraite!$L$7:$L$47)/LOOKUP($A85,Barèmes!$A$65:$A$148,Barèmes!$C$65:$C$148))*(1-(INT($B$8)+1-$B$8)),0)))</f>
        <v>26105.59935118855</v>
      </c>
      <c r="F85" s="121">
        <f ca="1">IF($A85&lt;$B$5+$B$4,-(LOOKUP($A85,Cot_droits!$A$17:$A$68,Cot_droits!$H$17:$H$68)+LOOKUP($A85,Cot_droits!$A$17:$A$68,Cot_droits!$L$17:$L$68))/LOOKUP($A85,Barèmes!$A$65:$A$148,Barèmes!$C$65:$C$148),IF(AND($A85&gt;=$B$5+$B$4,$A85&lt;=INT($B$8)-1+$B$4),LOOKUP($A85,Retraite!$A$7:$A$47,Retraite!$P$7:P$47)/LOOKUP($A85,Barèmes!$A$65:$A$148,Barèmes!$C$65:$C$148),IF($A85=INT($B$8+$B$4),(LOOKUP($A85,Retraite!$A$7:$A$47,Retraite!$P$7:$P$47)/LOOKUP($A85,Barèmes!$A$65:$A$148,Barèmes!$C$65:$C$148))*(1-(INT($B$8)+1-$B$8)),0)))</f>
        <v>23729.989810230392</v>
      </c>
      <c r="H85" s="131">
        <f ca="1">IF($A85&lt;$B$5+$B$4,-(LOOKUP($A85,Cot_droits!$A$17:$A$68,Cot_droits!$I$17:$I$68)+LOOKUP($A85,Cot_droits!$A$17:$A$68,Cot_droits!$J$17:$J$68)+LOOKUP($A85,Cot_droits!$A$17:$A$68,Cot_droits!$N$17:$N$68))/LOOKUP($A85,Barèmes!$A$65:$A$148,Barèmes!$C$65:$C$148),IF(AND($A85&gt;=$B$5+$B$4,$A85&lt;=INT($B$8)-1+$B$4),LOOKUP($A85,Retraite!$A$7:$A$47,Retraite!$M$7:$M$47)/LOOKUP($A85,Barèmes!$A$65:$A$148,Barèmes!$C$65:$C$148),IF($A85=INT($B$8+$B$4),(LOOKUP($A85,Retraite!$A$7:$A$47,Retraite!$M$7:$M$47)/LOOKUP($A85,Barèmes!$A$65:$A$148,Barèmes!$C$65:$C$148))*(1-(INT($B$8)+1-$B$8)),0)))</f>
        <v>8003.9995318687716</v>
      </c>
      <c r="I85" s="121">
        <f ca="1">IF($A85&lt;$B$5+$B$4,-(LOOKUP($A85,Cot_droits!$A$17:$A$68,Cot_droits!$I$17:$I$68)+LOOKUP($A85,Cot_droits!$A$17:$A$68,Cot_droits!$J$17:$J$68)+LOOKUP($A85,Cot_droits!$A$17:$A$68,Cot_droits!$N$17:$N$68))/LOOKUP($A85,Barèmes!$A$65:$A$148,Barèmes!$C$65:$C$148),IF(AND($A85&gt;=$B$5+$B$4,$A85&lt;=INT($B$8)-1+$B$4),LOOKUP($A85,Retraite!$A$7:$A$47,Retraite!$Q$7:Q$47)/LOOKUP($A85,Barèmes!$A$65:$A$148,Barèmes!$C$65:$C$148),IF($A85=INT($B$8+$B$4),(LOOKUP($A85,Retraite!$A$7:$A$47,Retraite!$Q$7:$Q$47)/LOOKUP($A85,Barèmes!$A$65:$A$148,Barèmes!$C$65:$C$148))*(1-(INT($B$8)+1-$B$8)),0)))</f>
        <v>7195.5955791500255</v>
      </c>
      <c r="J85" s="115"/>
    </row>
    <row r="86" spans="1:10" s="43" customFormat="1" ht="15.75" customHeight="1" x14ac:dyDescent="0.25">
      <c r="A86" s="125">
        <f t="shared" si="1"/>
        <v>2091</v>
      </c>
      <c r="B86" s="131">
        <f ca="1">IF($A86&lt;$B$5+$B$4,-LOOKUP($A86,Cot_droits!$A$17:$A$68,Cot_droits!$Q$17:$Q$68)/LOOKUP($A86,Barèmes!$A$65:$A$148,Barèmes!$C$65:$C$148),IF(AND($A86&gt;=$B$5+$B$4,$A86&lt;=INT($B$8)+$B$4-1),LOOKUP($A86,Retraite!$A$7:$A$47,Retraite!$K$7:$K$47)/LOOKUP($A86,Barèmes!$A$65:$A$148,Barèmes!$C$65:$C$148),IF($A86=INT($B$8+$B$4),(LOOKUP($A86,Retraite!$A$7:$A$47,Retraite!$K$7:$K$47)/LOOKUP($A86,Barèmes!$A$65:$A$148,Barèmes!$C$65:$C$148))*(1-(INT($B$8+1)-$B$8)),0)))</f>
        <v>1818.4875708962268</v>
      </c>
      <c r="C86" s="121">
        <f ca="1">IF($A86&lt;$B$5+$B$4,-LOOKUP($A86,Cot_droits!$A$17:$A$68,Cot_droits!$Q$17:$Q$68)/LOOKUP($A86,Barèmes!$A$65:$A$148,Barèmes!$C$65:$C$148),IF(AND($A86&gt;=$B$5+$B$4,$A86&lt;=INT($B$8)-1+$B$4),LOOKUP($A86,Retraite!$A$7:$A$47,Retraite!N$7:$N$47)/LOOKUP($A86,Barèmes!$A$65:$A$148,Barèmes!$C$65:$C$148),IF($A86=INT($B$8+$B$4),(LOOKUP($A86,Retraite!$A$7:$A$47,Retraite!$N$7:$N$47)/LOOKUP($A86,Barèmes!$A$65:$A$148,Barèmes!$C$65:$C$148))*(1-(INT($B$8)+1-$B$8)),0)))</f>
        <v>1648.7328019331812</v>
      </c>
      <c r="D86" s="115"/>
      <c r="E86" s="131">
        <f>IF($A86&lt;$B$5+$B$4,-(LOOKUP($A86,Cot_droits!$A$17:$A$68,Cot_droits!$H$17:$H$68)+LOOKUP($A86,Cot_droits!$A$17:$A$68,Cot_droits!$L$17:$L$68))/LOOKUP($A86,Barèmes!$A$65:$A$148,Barèmes!$C$65:$C$148),IF(AND($A86&gt;=$B$5+$B$4,$A86&lt;=INT($B$8)-1+$B$4),LOOKUP($A86,Retraite!$A$7:$A$47,Retraite!$L$7:$L$47)/LOOKUP($A86,Barèmes!$A$65:$A$148,Barèmes!$C$65:$C$148),IF($A86=INT($B$8+$B$4),(LOOKUP($A86,Retraite!$A$7:$A$47,Retraite!$L$7:$L$47)/LOOKUP($A86,Barèmes!$A$65:$A$148,Barèmes!$C$65:$C$148))*(1-(INT($B$8)+1-$B$8)),0)))</f>
        <v>1391.2475697473392</v>
      </c>
      <c r="F86" s="121">
        <f ca="1">IF($A86&lt;$B$5+$B$4,-(LOOKUP($A86,Cot_droits!$A$17:$A$68,Cot_droits!$H$17:$H$68)+LOOKUP($A86,Cot_droits!$A$17:$A$68,Cot_droits!$L$17:$L$68))/LOOKUP($A86,Barèmes!$A$65:$A$148,Barèmes!$C$65:$C$148),IF(AND($A86&gt;=$B$5+$B$4,$A86&lt;=INT($B$8)-1+$B$4),LOOKUP($A86,Retraite!$A$7:$A$47,Retraite!$P$7:P$47)/LOOKUP($A86,Barèmes!$A$65:$A$148,Barèmes!$C$65:$C$148),IF($A86=INT($B$8+$B$4),(LOOKUP($A86,Retraite!$A$7:$A$47,Retraite!$P$7:$P$47)/LOOKUP($A86,Barèmes!$A$65:$A$148,Barèmes!$C$65:$C$148))*(1-(INT($B$8)+1-$B$8)),0)))</f>
        <v>1264.6440409003312</v>
      </c>
      <c r="H86" s="131">
        <f ca="1">IF($A86&lt;$B$5+$B$4,-(LOOKUP($A86,Cot_droits!$A$17:$A$68,Cot_droits!$I$17:$I$68)+LOOKUP($A86,Cot_droits!$A$17:$A$68,Cot_droits!$J$17:$J$68)+LOOKUP($A86,Cot_droits!$A$17:$A$68,Cot_droits!$N$17:$N$68))/LOOKUP($A86,Barèmes!$A$65:$A$148,Barèmes!$C$65:$C$148),IF(AND($A86&gt;=$B$5+$B$4,$A86&lt;=INT($B$8)-1+$B$4),LOOKUP($A86,Retraite!$A$7:$A$47,Retraite!$M$7:$M$47)/LOOKUP($A86,Barèmes!$A$65:$A$148,Barèmes!$C$65:$C$148),IF($A86=INT($B$8+$B$4),(LOOKUP($A86,Retraite!$A$7:$A$47,Retraite!$M$7:$M$47)/LOOKUP($A86,Barèmes!$A$65:$A$148,Barèmes!$C$65:$C$148))*(1-(INT($B$8)+1-$B$8)),0)))</f>
        <v>427.24000114888747</v>
      </c>
      <c r="I86" s="121">
        <f ca="1">IF($A86&lt;$B$5+$B$4,-(LOOKUP($A86,Cot_droits!$A$17:$A$68,Cot_droits!$I$17:$I$68)+LOOKUP($A86,Cot_droits!$A$17:$A$68,Cot_droits!$J$17:$J$68)+LOOKUP($A86,Cot_droits!$A$17:$A$68,Cot_droits!$N$17:$N$68))/LOOKUP($A86,Barèmes!$A$65:$A$148,Barèmes!$C$65:$C$148),IF(AND($A86&gt;=$B$5+$B$4,$A86&lt;=INT($B$8)-1+$B$4),LOOKUP($A86,Retraite!$A$7:$A$47,Retraite!$Q$7:Q$47)/LOOKUP($A86,Barèmes!$A$65:$A$148,Barèmes!$C$65:$C$148),IF($A86=INT($B$8+$B$4),(LOOKUP($A86,Retraite!$A$7:$A$47,Retraite!$Q$7:$Q$47)/LOOKUP($A86,Barèmes!$A$65:$A$148,Barèmes!$C$65:$C$148))*(1-(INT($B$8)+1-$B$8)),0)))</f>
        <v>384.08876103284985</v>
      </c>
      <c r="J86" s="115"/>
    </row>
    <row r="87" spans="1:10" s="43" customFormat="1" ht="15.75" customHeight="1" x14ac:dyDescent="0.25">
      <c r="A87" s="125">
        <f t="shared" si="1"/>
        <v>2092</v>
      </c>
      <c r="B87" s="131">
        <f>IF($A87&lt;$B$5+$B$4,-LOOKUP($A87,Cot_droits!$A$17:$A$68,Cot_droits!$Q$17:$Q$68)/LOOKUP($A87,Barèmes!$A$65:$A$148,Barèmes!$C$65:$C$148),IF(AND($A87&gt;=$B$5+$B$4,$A87&lt;=INT($B$8)+$B$4-1),LOOKUP($A87,Retraite!$A$7:$A$47,Retraite!$K$7:$K$47)/LOOKUP($A87,Barèmes!$A$65:$A$148,Barèmes!$C$65:$C$148),IF($A87=INT($B$8+$B$4),(LOOKUP($A87,Retraite!$A$7:$A$47,Retraite!$K$7:$K$47)/LOOKUP($A87,Barèmes!$A$65:$A$148,Barèmes!$C$65:$C$148))*(1-(INT($B$8+1)-$B$8)),0)))</f>
        <v>0</v>
      </c>
      <c r="C87" s="121">
        <f>IF($A87&lt;$B$5+$B$4,-LOOKUP($A87,Cot_droits!$A$17:$A$68,Cot_droits!$Q$17:$Q$68)/LOOKUP($A87,Barèmes!$A$65:$A$148,Barèmes!$C$65:$C$148),IF(AND($A87&gt;=$B$5+$B$4,$A87&lt;=INT($B$8)-1+$B$4),LOOKUP($A87,Retraite!$A$7:$A$47,Retraite!N$7:$N$47)/LOOKUP($A87,Barèmes!$A$65:$A$148,Barèmes!$C$65:$C$148),IF($A87=INT($B$8+$B$4),(LOOKUP($A87,Retraite!$A$7:$A$47,Retraite!$N$7:$N$47)/LOOKUP($A87,Barèmes!$A$65:$A$148,Barèmes!$C$65:$C$148))*(1-(INT($B$8)+1-$B$8)),0)))</f>
        <v>0</v>
      </c>
      <c r="D87" s="115"/>
      <c r="E87" s="131">
        <f>IF($A87&lt;$B$5+$B$4,-(LOOKUP($A87,Cot_droits!$A$17:$A$68,Cot_droits!$H$17:$H$68)+LOOKUP($A87,Cot_droits!$A$17:$A$68,Cot_droits!$L$17:$L$68))/LOOKUP($A87,Barèmes!$A$65:$A$148,Barèmes!$C$65:$C$148),IF(AND($A87&gt;=$B$5+$B$4,$A87&lt;=INT($B$8)-1+$B$4),LOOKUP($A87,Retraite!$A$7:$A$47,Retraite!$L$7:$L$47)/LOOKUP($A87,Barèmes!$A$65:$A$148,Barèmes!$C$65:$C$148),IF($A87=INT($B$8+$B$4),(LOOKUP($A87,Retraite!$A$7:$A$47,Retraite!$L$7:$L$47)/LOOKUP($A87,Barèmes!$A$65:$A$148,Barèmes!$C$65:$C$148))*(1-(INT($B$8)+1-$B$8)),0)))</f>
        <v>0</v>
      </c>
      <c r="F87" s="121">
        <f>IF($A87&lt;$B$5+$B$4,-(LOOKUP($A87,Cot_droits!$A$17:$A$68,Cot_droits!$H$17:$H$68)+LOOKUP($A87,Cot_droits!$A$17:$A$68,Cot_droits!$L$17:$L$68))/LOOKUP($A87,Barèmes!$A$65:$A$148,Barèmes!$C$65:$C$148),IF(AND($A87&gt;=$B$5+$B$4,$A87&lt;=INT($B$8)-1+$B$4),LOOKUP($A87,Retraite!$A$7:$A$47,Retraite!$P$7:P$47)/LOOKUP($A87,Barèmes!$A$65:$A$148,Barèmes!$C$65:$C$148),IF($A87=INT($B$8+$B$4),(LOOKUP($A87,Retraite!$A$7:$A$47,Retraite!$P$7:$P$47)/LOOKUP($A87,Barèmes!$A$65:$A$148,Barèmes!$C$65:$C$148))*(1-(INT($B$8)+1-$B$8)),0)))</f>
        <v>0</v>
      </c>
      <c r="H87" s="131">
        <f>IF($A87&lt;$B$5+$B$4,-(LOOKUP($A87,Cot_droits!$A$17:$A$68,Cot_droits!$I$17:$I$68)+LOOKUP($A87,Cot_droits!$A$17:$A$68,Cot_droits!$J$17:$J$68)+LOOKUP($A87,Cot_droits!$A$17:$A$68,Cot_droits!$N$17:$N$68))/LOOKUP($A87,Barèmes!$A$65:$A$148,Barèmes!$C$65:$C$148),IF(AND($A87&gt;=$B$5+$B$4,$A87&lt;=INT($B$8)-1+$B$4),LOOKUP($A87,Retraite!$A$7:$A$47,Retraite!$M$7:$M$47)/LOOKUP($A87,Barèmes!$A$65:$A$148,Barèmes!$C$65:$C$148),IF($A87=INT($B$8+$B$4),(LOOKUP($A87,Retraite!$A$7:$A$47,Retraite!$M$7:$M$47)/LOOKUP($A87,Barèmes!$A$65:$A$148,Barèmes!$C$65:$C$148))*(1-(INT($B$8)+1-$B$8)),0)))</f>
        <v>0</v>
      </c>
      <c r="I87" s="121">
        <f>IF($A87&lt;$B$5+$B$4,-(LOOKUP($A87,Cot_droits!$A$17:$A$68,Cot_droits!$I$17:$I$68)+LOOKUP($A87,Cot_droits!$A$17:$A$68,Cot_droits!$J$17:$J$68)+LOOKUP($A87,Cot_droits!$A$17:$A$68,Cot_droits!$N$17:$N$68))/LOOKUP($A87,Barèmes!$A$65:$A$148,Barèmes!$C$65:$C$148),IF(AND($A87&gt;=$B$5+$B$4,$A87&lt;=INT($B$8)-1+$B$4),LOOKUP($A87,Retraite!$A$7:$A$47,Retraite!$Q$7:Q$47)/LOOKUP($A87,Barèmes!$A$65:$A$148,Barèmes!$C$65:$C$148),IF($A87=INT($B$8+$B$4),(LOOKUP($A87,Retraite!$A$7:$A$47,Retraite!$Q$7:$Q$47)/LOOKUP($A87,Barèmes!$A$65:$A$148,Barèmes!$C$65:$C$148))*(1-(INT($B$8)+1-$B$8)),0)))</f>
        <v>0</v>
      </c>
      <c r="J87" s="115"/>
    </row>
    <row r="88" spans="1:10" s="43" customFormat="1" ht="15.75" customHeight="1" x14ac:dyDescent="0.25">
      <c r="A88" s="125">
        <f t="shared" si="1"/>
        <v>2093</v>
      </c>
      <c r="B88" s="131">
        <f>IF($A88&lt;$B$5+$B$4,-LOOKUP($A88,Cot_droits!$A$17:$A$68,Cot_droits!$Q$17:$Q$68)/LOOKUP($A88,Barèmes!$A$65:$A$148,Barèmes!$C$65:$C$148),IF(AND($A88&gt;=$B$5+$B$4,$A88&lt;=INT($B$8)+$B$4-1),LOOKUP($A88,Retraite!$A$7:$A$47,Retraite!$K$7:$K$47)/LOOKUP($A88,Barèmes!$A$65:$A$148,Barèmes!$C$65:$C$148),IF($A88=INT($B$8+$B$4),(LOOKUP($A88,Retraite!$A$7:$A$47,Retraite!$K$7:$K$47)/LOOKUP($A88,Barèmes!$A$65:$A$148,Barèmes!$C$65:$C$148))*(1-(INT($B$8+1)-$B$8)),0)))</f>
        <v>0</v>
      </c>
      <c r="C88" s="121">
        <f>IF($A88&lt;$B$5+$B$4,-LOOKUP($A88,Cot_droits!$A$17:$A$68,Cot_droits!$Q$17:$Q$68)/LOOKUP($A88,Barèmes!$A$65:$A$148,Barèmes!$C$65:$C$148),IF(AND($A88&gt;=$B$5+$B$4,$A88&lt;=INT($B$8)-1+$B$4),LOOKUP($A88,Retraite!$A$7:$A$47,Retraite!N$7:$N$47)/LOOKUP($A88,Barèmes!$A$65:$A$148,Barèmes!$C$65:$C$148),IF($A88=INT($B$8+$B$4),(LOOKUP($A88,Retraite!$A$7:$A$47,Retraite!$N$7:$N$47)/LOOKUP($A88,Barèmes!$A$65:$A$148,Barèmes!$C$65:$C$148))*(1-(INT($B$8)+1-$B$8)),0)))</f>
        <v>0</v>
      </c>
      <c r="D88" s="115"/>
      <c r="E88" s="131">
        <f>IF($A88&lt;$B$5+$B$4,-(LOOKUP($A88,Cot_droits!$A$17:$A$68,Cot_droits!$H$17:$H$68)+LOOKUP($A88,Cot_droits!$A$17:$A$68,Cot_droits!$L$17:$L$68))/LOOKUP($A88,Barèmes!$A$65:$A$148,Barèmes!$C$65:$C$148),IF(AND($A88&gt;=$B$5+$B$4,$A88&lt;=INT($B$8)-1+$B$4),LOOKUP($A88,Retraite!$A$7:$A$47,Retraite!$L$7:$L$47)/LOOKUP($A88,Barèmes!$A$65:$A$148,Barèmes!$C$65:$C$148),IF($A88=INT($B$8+$B$4),(LOOKUP($A88,Retraite!$A$7:$A$47,Retraite!$L$7:$L$47)/LOOKUP($A88,Barèmes!$A$65:$A$148,Barèmes!$C$65:$C$148))*(1-(INT($B$8)+1-$B$8)),0)))</f>
        <v>0</v>
      </c>
      <c r="F88" s="121">
        <f>IF($A88&lt;$B$5+$B$4,-(LOOKUP($A88,Cot_droits!$A$17:$A$68,Cot_droits!$H$17:$H$68)+LOOKUP($A88,Cot_droits!$A$17:$A$68,Cot_droits!$L$17:$L$68))/LOOKUP($A88,Barèmes!$A$65:$A$148,Barèmes!$C$65:$C$148),IF(AND($A88&gt;=$B$5+$B$4,$A88&lt;=INT($B$8)-1+$B$4),LOOKUP($A88,Retraite!$A$7:$A$47,Retraite!$P$7:P$47)/LOOKUP($A88,Barèmes!$A$65:$A$148,Barèmes!$C$65:$C$148),IF($A88=INT($B$8+$B$4),(LOOKUP($A88,Retraite!$A$7:$A$47,Retraite!$P$7:$P$47)/LOOKUP($A88,Barèmes!$A$65:$A$148,Barèmes!$C$65:$C$148))*(1-(INT($B$8)+1-$B$8)),0)))</f>
        <v>0</v>
      </c>
      <c r="H88" s="131">
        <f>IF($A88&lt;$B$5+$B$4,-(LOOKUP($A88,Cot_droits!$A$17:$A$68,Cot_droits!$I$17:$I$68)+LOOKUP($A88,Cot_droits!$A$17:$A$68,Cot_droits!$J$17:$J$68)+LOOKUP($A88,Cot_droits!$A$17:$A$68,Cot_droits!$N$17:$N$68))/LOOKUP($A88,Barèmes!$A$65:$A$148,Barèmes!$C$65:$C$148),IF(AND($A88&gt;=$B$5+$B$4,$A88&lt;=INT($B$8)-1+$B$4),LOOKUP($A88,Retraite!$A$7:$A$47,Retraite!$M$7:$M$47)/LOOKUP($A88,Barèmes!$A$65:$A$148,Barèmes!$C$65:$C$148),IF($A88=INT($B$8+$B$4),(LOOKUP($A88,Retraite!$A$7:$A$47,Retraite!$M$7:$M$47)/LOOKUP($A88,Barèmes!$A$65:$A$148,Barèmes!$C$65:$C$148))*(1-(INT($B$8)+1-$B$8)),0)))</f>
        <v>0</v>
      </c>
      <c r="I88" s="121">
        <f>IF($A88&lt;$B$5+$B$4,-(LOOKUP($A88,Cot_droits!$A$17:$A$68,Cot_droits!$I$17:$I$68)+LOOKUP($A88,Cot_droits!$A$17:$A$68,Cot_droits!$J$17:$J$68)+LOOKUP($A88,Cot_droits!$A$17:$A$68,Cot_droits!$N$17:$N$68))/LOOKUP($A88,Barèmes!$A$65:$A$148,Barèmes!$C$65:$C$148),IF(AND($A88&gt;=$B$5+$B$4,$A88&lt;=INT($B$8)-1+$B$4),LOOKUP($A88,Retraite!$A$7:$A$47,Retraite!$Q$7:Q$47)/LOOKUP($A88,Barèmes!$A$65:$A$148,Barèmes!$C$65:$C$148),IF($A88=INT($B$8+$B$4),(LOOKUP($A88,Retraite!$A$7:$A$47,Retraite!$Q$7:$Q$47)/LOOKUP($A88,Barèmes!$A$65:$A$148,Barèmes!$C$65:$C$148))*(1-(INT($B$8)+1-$B$8)),0)))</f>
        <v>0</v>
      </c>
      <c r="J88" s="115"/>
    </row>
    <row r="89" spans="1:10" s="43" customFormat="1" ht="15.75" customHeight="1" x14ac:dyDescent="0.25">
      <c r="A89" s="125">
        <f t="shared" si="1"/>
        <v>2094</v>
      </c>
      <c r="B89" s="131">
        <f>IF($A89&lt;$B$5+$B$4,-LOOKUP($A89,Cot_droits!$A$17:$A$68,Cot_droits!$Q$17:$Q$68)/LOOKUP($A89,Barèmes!$A$65:$A$148,Barèmes!$C$65:$C$148),IF(AND($A89&gt;=$B$5+$B$4,$A89&lt;=INT($B$8)+$B$4-1),LOOKUP($A89,Retraite!$A$7:$A$47,Retraite!$K$7:$K$47)/LOOKUP($A89,Barèmes!$A$65:$A$148,Barèmes!$C$65:$C$148),IF($A89=INT($B$8+$B$4),(LOOKUP($A89,Retraite!$A$7:$A$47,Retraite!$K$7:$K$47)/LOOKUP($A89,Barèmes!$A$65:$A$148,Barèmes!$C$65:$C$148))*(1-(INT($B$8+1)-$B$8)),0)))</f>
        <v>0</v>
      </c>
      <c r="C89" s="121">
        <f>IF($A89&lt;$B$5+$B$4,-LOOKUP($A89,Cot_droits!$A$17:$A$68,Cot_droits!$Q$17:$Q$68)/LOOKUP($A89,Barèmes!$A$65:$A$148,Barèmes!$C$65:$C$148),IF(AND($A89&gt;=$B$5+$B$4,$A89&lt;=INT($B$8)-1+$B$4),LOOKUP($A89,Retraite!$A$7:$A$47,Retraite!N$7:$N$47)/LOOKUP($A89,Barèmes!$A$65:$A$148,Barèmes!$C$65:$C$148),IF($A89=INT($B$8+$B$4),(LOOKUP($A89,Retraite!$A$7:$A$47,Retraite!$N$7:$N$47)/LOOKUP($A89,Barèmes!$A$65:$A$148,Barèmes!$C$65:$C$148))*(1-(INT($B$8)+1-$B$8)),0)))</f>
        <v>0</v>
      </c>
      <c r="D89" s="115"/>
      <c r="E89" s="131">
        <f>IF($A89&lt;$B$5+$B$4,-(LOOKUP($A89,Cot_droits!$A$17:$A$68,Cot_droits!$H$17:$H$68)+LOOKUP($A89,Cot_droits!$A$17:$A$68,Cot_droits!$L$17:$L$68))/LOOKUP($A89,Barèmes!$A$65:$A$148,Barèmes!$C$65:$C$148),IF(AND($A89&gt;=$B$5+$B$4,$A89&lt;=INT($B$8)-1+$B$4),LOOKUP($A89,Retraite!$A$7:$A$47,Retraite!$L$7:$L$47)/LOOKUP($A89,Barèmes!$A$65:$A$148,Barèmes!$C$65:$C$148),IF($A89=INT($B$8+$B$4),(LOOKUP($A89,Retraite!$A$7:$A$47,Retraite!$L$7:$L$47)/LOOKUP($A89,Barèmes!$A$65:$A$148,Barèmes!$C$65:$C$148))*(1-(INT($B$8)+1-$B$8)),0)))</f>
        <v>0</v>
      </c>
      <c r="F89" s="121">
        <f>IF($A89&lt;$B$5+$B$4,-(LOOKUP($A89,Cot_droits!$A$17:$A$68,Cot_droits!$H$17:$H$68)+LOOKUP($A89,Cot_droits!$A$17:$A$68,Cot_droits!$L$17:$L$68))/LOOKUP($A89,Barèmes!$A$65:$A$148,Barèmes!$C$65:$C$148),IF(AND($A89&gt;=$B$5+$B$4,$A89&lt;=INT($B$8)-1+$B$4),LOOKUP($A89,Retraite!$A$7:$A$47,Retraite!$P$7:P$47)/LOOKUP($A89,Barèmes!$A$65:$A$148,Barèmes!$C$65:$C$148),IF($A89=INT($B$8+$B$4),(LOOKUP($A89,Retraite!$A$7:$A$47,Retraite!$P$7:$P$47)/LOOKUP($A89,Barèmes!$A$65:$A$148,Barèmes!$C$65:$C$148))*(1-(INT($B$8)+1-$B$8)),0)))</f>
        <v>0</v>
      </c>
      <c r="H89" s="131">
        <f>IF($A89&lt;$B$5+$B$4,-(LOOKUP($A89,Cot_droits!$A$17:$A$68,Cot_droits!$I$17:$I$68)+LOOKUP($A89,Cot_droits!$A$17:$A$68,Cot_droits!$J$17:$J$68)+LOOKUP($A89,Cot_droits!$A$17:$A$68,Cot_droits!$N$17:$N$68))/LOOKUP($A89,Barèmes!$A$65:$A$148,Barèmes!$C$65:$C$148),IF(AND($A89&gt;=$B$5+$B$4,$A89&lt;=INT($B$8)-1+$B$4),LOOKUP($A89,Retraite!$A$7:$A$47,Retraite!$M$7:$M$47)/LOOKUP($A89,Barèmes!$A$65:$A$148,Barèmes!$C$65:$C$148),IF($A89=INT($B$8+$B$4),(LOOKUP($A89,Retraite!$A$7:$A$47,Retraite!$M$7:$M$47)/LOOKUP($A89,Barèmes!$A$65:$A$148,Barèmes!$C$65:$C$148))*(1-(INT($B$8)+1-$B$8)),0)))</f>
        <v>0</v>
      </c>
      <c r="I89" s="121">
        <f>IF($A89&lt;$B$5+$B$4,-(LOOKUP($A89,Cot_droits!$A$17:$A$68,Cot_droits!$I$17:$I$68)+LOOKUP($A89,Cot_droits!$A$17:$A$68,Cot_droits!$J$17:$J$68)+LOOKUP($A89,Cot_droits!$A$17:$A$68,Cot_droits!$N$17:$N$68))/LOOKUP($A89,Barèmes!$A$65:$A$148,Barèmes!$C$65:$C$148),IF(AND($A89&gt;=$B$5+$B$4,$A89&lt;=INT($B$8)-1+$B$4),LOOKUP($A89,Retraite!$A$7:$A$47,Retraite!$Q$7:Q$47)/LOOKUP($A89,Barèmes!$A$65:$A$148,Barèmes!$C$65:$C$148),IF($A89=INT($B$8+$B$4),(LOOKUP($A89,Retraite!$A$7:$A$47,Retraite!$Q$7:$Q$47)/LOOKUP($A89,Barèmes!$A$65:$A$148,Barèmes!$C$65:$C$148))*(1-(INT($B$8)+1-$B$8)),0)))</f>
        <v>0</v>
      </c>
      <c r="J89" s="115"/>
    </row>
    <row r="90" spans="1:10" s="43" customFormat="1" ht="15.75" customHeight="1" x14ac:dyDescent="0.25">
      <c r="A90" s="125">
        <f t="shared" si="1"/>
        <v>2095</v>
      </c>
      <c r="B90" s="131">
        <f>IF($A90&lt;$B$5+$B$4,-LOOKUP($A90,Cot_droits!$A$17:$A$68,Cot_droits!$Q$17:$Q$68)/LOOKUP($A90,Barèmes!$A$65:$A$148,Barèmes!$C$65:$C$148),IF(AND($A90&gt;=$B$5+$B$4,$A90&lt;=INT($B$8)+$B$4-1),LOOKUP($A90,Retraite!$A$7:$A$47,Retraite!$K$7:$K$47)/LOOKUP($A90,Barèmes!$A$65:$A$148,Barèmes!$C$65:$C$148),IF($A90=INT($B$8+$B$4),(LOOKUP($A90,Retraite!$A$7:$A$47,Retraite!$K$7:$K$47)/LOOKUP($A90,Barèmes!$A$65:$A$148,Barèmes!$C$65:$C$148))*(1-(INT($B$8+1)-$B$8)),0)))</f>
        <v>0</v>
      </c>
      <c r="C90" s="121">
        <f>IF($A90&lt;$B$5+$B$4,-LOOKUP($A90,Cot_droits!$A$17:$A$68,Cot_droits!$Q$17:$Q$68)/LOOKUP($A90,Barèmes!$A$65:$A$148,Barèmes!$C$65:$C$148),IF(AND($A90&gt;=$B$5+$B$4,$A90&lt;=INT($B$8)-1+$B$4),LOOKUP($A90,Retraite!$A$7:$A$47,Retraite!N$7:$N$47)/LOOKUP($A90,Barèmes!$A$65:$A$148,Barèmes!$C$65:$C$148),IF($A90=INT($B$8+$B$4),(LOOKUP($A90,Retraite!$A$7:$A$47,Retraite!$N$7:$N$47)/LOOKUP($A90,Barèmes!$A$65:$A$148,Barèmes!$C$65:$C$148))*(1-(INT($B$8)+1-$B$8)),0)))</f>
        <v>0</v>
      </c>
      <c r="D90" s="115"/>
      <c r="E90" s="131">
        <f>IF($A90&lt;$B$5+$B$4,-(LOOKUP($A90,Cot_droits!$A$17:$A$68,Cot_droits!$H$17:$H$68)+LOOKUP($A90,Cot_droits!$A$17:$A$68,Cot_droits!$L$17:$L$68))/LOOKUP($A90,Barèmes!$A$65:$A$148,Barèmes!$C$65:$C$148),IF(AND($A90&gt;=$B$5+$B$4,$A90&lt;=INT($B$8)-1+$B$4),LOOKUP($A90,Retraite!$A$7:$A$47,Retraite!$L$7:$L$47)/LOOKUP($A90,Barèmes!$A$65:$A$148,Barèmes!$C$65:$C$148),IF($A90=INT($B$8+$B$4),(LOOKUP($A90,Retraite!$A$7:$A$47,Retraite!$L$7:$L$47)/LOOKUP($A90,Barèmes!$A$65:$A$148,Barèmes!$C$65:$C$148))*(1-(INT($B$8)+1-$B$8)),0)))</f>
        <v>0</v>
      </c>
      <c r="F90" s="121">
        <f>IF($A90&lt;$B$5+$B$4,-(LOOKUP($A90,Cot_droits!$A$17:$A$68,Cot_droits!$H$17:$H$68)+LOOKUP($A90,Cot_droits!$A$17:$A$68,Cot_droits!$L$17:$L$68))/LOOKUP($A90,Barèmes!$A$65:$A$148,Barèmes!$C$65:$C$148),IF(AND($A90&gt;=$B$5+$B$4,$A90&lt;=INT($B$8)-1+$B$4),LOOKUP($A90,Retraite!$A$7:$A$47,Retraite!$P$7:P$47)/LOOKUP($A90,Barèmes!$A$65:$A$148,Barèmes!$C$65:$C$148),IF($A90=INT($B$8+$B$4),(LOOKUP($A90,Retraite!$A$7:$A$47,Retraite!$P$7:$P$47)/LOOKUP($A90,Barèmes!$A$65:$A$148,Barèmes!$C$65:$C$148))*(1-(INT($B$8)+1-$B$8)),0)))</f>
        <v>0</v>
      </c>
      <c r="H90" s="131">
        <f>IF($A90&lt;$B$5+$B$4,-(LOOKUP($A90,Cot_droits!$A$17:$A$68,Cot_droits!$I$17:$I$68)+LOOKUP($A90,Cot_droits!$A$17:$A$68,Cot_droits!$J$17:$J$68)+LOOKUP($A90,Cot_droits!$A$17:$A$68,Cot_droits!$N$17:$N$68))/LOOKUP($A90,Barèmes!$A$65:$A$148,Barèmes!$C$65:$C$148),IF(AND($A90&gt;=$B$5+$B$4,$A90&lt;=INT($B$8)-1+$B$4),LOOKUP($A90,Retraite!$A$7:$A$47,Retraite!$M$7:$M$47)/LOOKUP($A90,Barèmes!$A$65:$A$148,Barèmes!$C$65:$C$148),IF($A90=INT($B$8+$B$4),(LOOKUP($A90,Retraite!$A$7:$A$47,Retraite!$M$7:$M$47)/LOOKUP($A90,Barèmes!$A$65:$A$148,Barèmes!$C$65:$C$148))*(1-(INT($B$8)+1-$B$8)),0)))</f>
        <v>0</v>
      </c>
      <c r="I90" s="121">
        <f>IF($A90&lt;$B$5+$B$4,-(LOOKUP($A90,Cot_droits!$A$17:$A$68,Cot_droits!$I$17:$I$68)+LOOKUP($A90,Cot_droits!$A$17:$A$68,Cot_droits!$J$17:$J$68)+LOOKUP($A90,Cot_droits!$A$17:$A$68,Cot_droits!$N$17:$N$68))/LOOKUP($A90,Barèmes!$A$65:$A$148,Barèmes!$C$65:$C$148),IF(AND($A90&gt;=$B$5+$B$4,$A90&lt;=INT($B$8)-1+$B$4),LOOKUP($A90,Retraite!$A$7:$A$47,Retraite!$Q$7:Q$47)/LOOKUP($A90,Barèmes!$A$65:$A$148,Barèmes!$C$65:$C$148),IF($A90=INT($B$8+$B$4),(LOOKUP($A90,Retraite!$A$7:$A$47,Retraite!$Q$7:$Q$47)/LOOKUP($A90,Barèmes!$A$65:$A$148,Barèmes!$C$65:$C$148))*(1-(INT($B$8)+1-$B$8)),0)))</f>
        <v>0</v>
      </c>
      <c r="J90" s="115"/>
    </row>
    <row r="91" spans="1:10" s="43" customFormat="1" ht="15.75" customHeight="1" x14ac:dyDescent="0.25">
      <c r="A91" s="125">
        <f t="shared" si="1"/>
        <v>2096</v>
      </c>
      <c r="B91" s="131">
        <f>IF($A91&lt;$B$5+$B$4,-LOOKUP($A91,Cot_droits!$A$17:$A$68,Cot_droits!$Q$17:$Q$68)/LOOKUP($A91,Barèmes!$A$65:$A$148,Barèmes!$C$65:$C$148),IF(AND($A91&gt;=$B$5+$B$4,$A91&lt;=INT($B$8)+$B$4-1),LOOKUP($A91,Retraite!$A$7:$A$47,Retraite!$K$7:$K$47)/LOOKUP($A91,Barèmes!$A$65:$A$148,Barèmes!$C$65:$C$148),IF($A91=INT($B$8+$B$4),(LOOKUP($A91,Retraite!$A$7:$A$47,Retraite!$K$7:$K$47)/LOOKUP($A91,Barèmes!$A$65:$A$148,Barèmes!$C$65:$C$148))*(1-(INT($B$8+1)-$B$8)),0)))</f>
        <v>0</v>
      </c>
      <c r="C91" s="121">
        <f>IF($A91&lt;$B$5+$B$4,-LOOKUP($A91,Cot_droits!$A$17:$A$68,Cot_droits!$Q$17:$Q$68)/LOOKUP($A91,Barèmes!$A$65:$A$148,Barèmes!$C$65:$C$148),IF(AND($A91&gt;=$B$5+$B$4,$A91&lt;=INT($B$8)-1+$B$4),LOOKUP($A91,Retraite!$A$7:$A$47,Retraite!N$7:$N$47)/LOOKUP($A91,Barèmes!$A$65:$A$148,Barèmes!$C$65:$C$148),IF($A91=INT($B$8+$B$4),(LOOKUP($A91,Retraite!$A$7:$A$47,Retraite!$N$7:$N$47)/LOOKUP($A91,Barèmes!$A$65:$A$148,Barèmes!$C$65:$C$148))*(1-(INT($B$8)+1-$B$8)),0)))</f>
        <v>0</v>
      </c>
      <c r="D91" s="115"/>
      <c r="E91" s="131">
        <f>IF($A91&lt;$B$5+$B$4,-(LOOKUP($A91,Cot_droits!$A$17:$A$68,Cot_droits!$H$17:$H$68)+LOOKUP($A91,Cot_droits!$A$17:$A$68,Cot_droits!$L$17:$L$68))/LOOKUP($A91,Barèmes!$A$65:$A$148,Barèmes!$C$65:$C$148),IF(AND($A91&gt;=$B$5+$B$4,$A91&lt;=INT($B$8)-1+$B$4),LOOKUP($A91,Retraite!$A$7:$A$47,Retraite!$L$7:$L$47)/LOOKUP($A91,Barèmes!$A$65:$A$148,Barèmes!$C$65:$C$148),IF($A91=INT($B$8+$B$4),(LOOKUP($A91,Retraite!$A$7:$A$47,Retraite!$L$7:$L$47)/LOOKUP($A91,Barèmes!$A$65:$A$148,Barèmes!$C$65:$C$148))*(1-(INT($B$8)+1-$B$8)),0)))</f>
        <v>0</v>
      </c>
      <c r="F91" s="121">
        <f>IF($A91&lt;$B$5+$B$4,-(LOOKUP($A91,Cot_droits!$A$17:$A$68,Cot_droits!$H$17:$H$68)+LOOKUP($A91,Cot_droits!$A$17:$A$68,Cot_droits!$L$17:$L$68))/LOOKUP($A91,Barèmes!$A$65:$A$148,Barèmes!$C$65:$C$148),IF(AND($A91&gt;=$B$5+$B$4,$A91&lt;=INT($B$8)-1+$B$4),LOOKUP($A91,Retraite!$A$7:$A$47,Retraite!$P$7:P$47)/LOOKUP($A91,Barèmes!$A$65:$A$148,Barèmes!$C$65:$C$148),IF($A91=INT($B$8+$B$4),(LOOKUP($A91,Retraite!$A$7:$A$47,Retraite!$P$7:$P$47)/LOOKUP($A91,Barèmes!$A$65:$A$148,Barèmes!$C$65:$C$148))*(1-(INT($B$8)+1-$B$8)),0)))</f>
        <v>0</v>
      </c>
      <c r="H91" s="131">
        <f>IF($A91&lt;$B$5+$B$4,-(LOOKUP($A91,Cot_droits!$A$17:$A$68,Cot_droits!$I$17:$I$68)+LOOKUP($A91,Cot_droits!$A$17:$A$68,Cot_droits!$J$17:$J$68)+LOOKUP($A91,Cot_droits!$A$17:$A$68,Cot_droits!$N$17:$N$68))/LOOKUP($A91,Barèmes!$A$65:$A$148,Barèmes!$C$65:$C$148),IF(AND($A91&gt;=$B$5+$B$4,$A91&lt;=INT($B$8)-1+$B$4),LOOKUP($A91,Retraite!$A$7:$A$47,Retraite!$M$7:$M$47)/LOOKUP($A91,Barèmes!$A$65:$A$148,Barèmes!$C$65:$C$148),IF($A91=INT($B$8+$B$4),(LOOKUP($A91,Retraite!$A$7:$A$47,Retraite!$M$7:$M$47)/LOOKUP($A91,Barèmes!$A$65:$A$148,Barèmes!$C$65:$C$148))*(1-(INT($B$8)+1-$B$8)),0)))</f>
        <v>0</v>
      </c>
      <c r="I91" s="121">
        <f>IF($A91&lt;$B$5+$B$4,-(LOOKUP($A91,Cot_droits!$A$17:$A$68,Cot_droits!$I$17:$I$68)+LOOKUP($A91,Cot_droits!$A$17:$A$68,Cot_droits!$J$17:$J$68)+LOOKUP($A91,Cot_droits!$A$17:$A$68,Cot_droits!$N$17:$N$68))/LOOKUP($A91,Barèmes!$A$65:$A$148,Barèmes!$C$65:$C$148),IF(AND($A91&gt;=$B$5+$B$4,$A91&lt;=INT($B$8)-1+$B$4),LOOKUP($A91,Retraite!$A$7:$A$47,Retraite!$Q$7:Q$47)/LOOKUP($A91,Barèmes!$A$65:$A$148,Barèmes!$C$65:$C$148),IF($A91=INT($B$8+$B$4),(LOOKUP($A91,Retraite!$A$7:$A$47,Retraite!$Q$7:$Q$47)/LOOKUP($A91,Barèmes!$A$65:$A$148,Barèmes!$C$65:$C$148))*(1-(INT($B$8)+1-$B$8)),0)))</f>
        <v>0</v>
      </c>
      <c r="J91" s="115"/>
    </row>
    <row r="92" spans="1:10" s="43" customFormat="1" ht="15.75" customHeight="1" x14ac:dyDescent="0.25">
      <c r="A92" s="125">
        <f t="shared" si="1"/>
        <v>2097</v>
      </c>
      <c r="B92" s="131">
        <f>IF($A92&lt;$B$5+$B$4,-LOOKUP($A92,Cot_droits!$A$17:$A$68,Cot_droits!$Q$17:$Q$68)/LOOKUP($A92,Barèmes!$A$65:$A$148,Barèmes!$C$65:$C$148),IF(AND($A92&gt;=$B$5+$B$4,$A92&lt;=INT($B$8)+$B$4-1),LOOKUP($A92,Retraite!$A$7:$A$47,Retraite!$K$7:$K$47)/LOOKUP($A92,Barèmes!$A$65:$A$148,Barèmes!$C$65:$C$148),IF($A92=INT($B$8+$B$4),(LOOKUP($A92,Retraite!$A$7:$A$47,Retraite!$K$7:$K$47)/LOOKUP($A92,Barèmes!$A$65:$A$148,Barèmes!$C$65:$C$148))*(1-(INT($B$8+1)-$B$8)),0)))</f>
        <v>0</v>
      </c>
      <c r="C92" s="121">
        <f>IF($A92&lt;$B$5+$B$4,-LOOKUP($A92,Cot_droits!$A$17:$A$68,Cot_droits!$Q$17:$Q$68)/LOOKUP($A92,Barèmes!$A$65:$A$148,Barèmes!$C$65:$C$148),IF(AND($A92&gt;=$B$5+$B$4,$A92&lt;=INT($B$8)-1+$B$4),LOOKUP($A92,Retraite!$A$7:$A$47,Retraite!N$7:$N$47)/LOOKUP($A92,Barèmes!$A$65:$A$148,Barèmes!$C$65:$C$148),IF($A92=INT($B$8+$B$4),(LOOKUP($A92,Retraite!$A$7:$A$47,Retraite!$N$7:$N$47)/LOOKUP($A92,Barèmes!$A$65:$A$148,Barèmes!$C$65:$C$148))*(1-(INT($B$8)+1-$B$8)),0)))</f>
        <v>0</v>
      </c>
      <c r="D92" s="115"/>
      <c r="E92" s="131">
        <f>IF($A92&lt;$B$5+$B$4,-(LOOKUP($A92,Cot_droits!$A$17:$A$68,Cot_droits!$H$17:$H$68)+LOOKUP($A92,Cot_droits!$A$17:$A$68,Cot_droits!$L$17:$L$68))/LOOKUP($A92,Barèmes!$A$65:$A$148,Barèmes!$C$65:$C$148),IF(AND($A92&gt;=$B$5+$B$4,$A92&lt;=INT($B$8)-1+$B$4),LOOKUP($A92,Retraite!$A$7:$A$47,Retraite!$L$7:$L$47)/LOOKUP($A92,Barèmes!$A$65:$A$148,Barèmes!$C$65:$C$148),IF($A92=INT($B$8+$B$4),(LOOKUP($A92,Retraite!$A$7:$A$47,Retraite!$L$7:$L$47)/LOOKUP($A92,Barèmes!$A$65:$A$148,Barèmes!$C$65:$C$148))*(1-(INT($B$8)+1-$B$8)),0)))</f>
        <v>0</v>
      </c>
      <c r="F92" s="121">
        <f>IF($A92&lt;$B$5+$B$4,-(LOOKUP($A92,Cot_droits!$A$17:$A$68,Cot_droits!$H$17:$H$68)+LOOKUP($A92,Cot_droits!$A$17:$A$68,Cot_droits!$L$17:$L$68))/LOOKUP($A92,Barèmes!$A$65:$A$148,Barèmes!$C$65:$C$148),IF(AND($A92&gt;=$B$5+$B$4,$A92&lt;=INT($B$8)-1+$B$4),LOOKUP($A92,Retraite!$A$7:$A$47,Retraite!$P$7:P$47)/LOOKUP($A92,Barèmes!$A$65:$A$148,Barèmes!$C$65:$C$148),IF($A92=INT($B$8+$B$4),(LOOKUP($A92,Retraite!$A$7:$A$47,Retraite!$P$7:$P$47)/LOOKUP($A92,Barèmes!$A$65:$A$148,Barèmes!$C$65:$C$148))*(1-(INT($B$8)+1-$B$8)),0)))</f>
        <v>0</v>
      </c>
      <c r="H92" s="131">
        <f>IF($A92&lt;$B$5+$B$4,-(LOOKUP($A92,Cot_droits!$A$17:$A$68,Cot_droits!$I$17:$I$68)+LOOKUP($A92,Cot_droits!$A$17:$A$68,Cot_droits!$J$17:$J$68)+LOOKUP($A92,Cot_droits!$A$17:$A$68,Cot_droits!$N$17:$N$68))/LOOKUP($A92,Barèmes!$A$65:$A$148,Barèmes!$C$65:$C$148),IF(AND($A92&gt;=$B$5+$B$4,$A92&lt;=INT($B$8)-1+$B$4),LOOKUP($A92,Retraite!$A$7:$A$47,Retraite!$M$7:$M$47)/LOOKUP($A92,Barèmes!$A$65:$A$148,Barèmes!$C$65:$C$148),IF($A92=INT($B$8+$B$4),(LOOKUP($A92,Retraite!$A$7:$A$47,Retraite!$M$7:$M$47)/LOOKUP($A92,Barèmes!$A$65:$A$148,Barèmes!$C$65:$C$148))*(1-(INT($B$8)+1-$B$8)),0)))</f>
        <v>0</v>
      </c>
      <c r="I92" s="121">
        <f>IF($A92&lt;$B$5+$B$4,-(LOOKUP($A92,Cot_droits!$A$17:$A$68,Cot_droits!$I$17:$I$68)+LOOKUP($A92,Cot_droits!$A$17:$A$68,Cot_droits!$J$17:$J$68)+LOOKUP($A92,Cot_droits!$A$17:$A$68,Cot_droits!$N$17:$N$68))/LOOKUP($A92,Barèmes!$A$65:$A$148,Barèmes!$C$65:$C$148),IF(AND($A92&gt;=$B$5+$B$4,$A92&lt;=INT($B$8)-1+$B$4),LOOKUP($A92,Retraite!$A$7:$A$47,Retraite!$Q$7:Q$47)/LOOKUP($A92,Barèmes!$A$65:$A$148,Barèmes!$C$65:$C$148),IF($A92=INT($B$8+$B$4),(LOOKUP($A92,Retraite!$A$7:$A$47,Retraite!$Q$7:$Q$47)/LOOKUP($A92,Barèmes!$A$65:$A$148,Barèmes!$C$65:$C$148))*(1-(INT($B$8)+1-$B$8)),0)))</f>
        <v>0</v>
      </c>
      <c r="J92" s="115"/>
    </row>
    <row r="93" spans="1:10" s="43" customFormat="1" ht="15.75" customHeight="1" x14ac:dyDescent="0.25">
      <c r="A93" s="125">
        <f t="shared" si="1"/>
        <v>2098</v>
      </c>
      <c r="B93" s="131">
        <f>IF($A93&lt;$B$5+$B$4,-LOOKUP($A93,Cot_droits!$A$17:$A$68,Cot_droits!$Q$17:$Q$68)/LOOKUP($A93,Barèmes!$A$65:$A$148,Barèmes!$C$65:$C$148),IF(AND($A93&gt;=$B$5+$B$4,$A93&lt;=INT($B$8)+$B$4-1),LOOKUP($A93,Retraite!$A$7:$A$47,Retraite!$K$7:$K$47)/LOOKUP($A93,Barèmes!$A$65:$A$148,Barèmes!$C$65:$C$148),IF($A93=INT($B$8+$B$4),(LOOKUP($A93,Retraite!$A$7:$A$47,Retraite!$K$7:$K$47)/LOOKUP($A93,Barèmes!$A$65:$A$148,Barèmes!$C$65:$C$148))*(1-(INT($B$8+1)-$B$8)),0)))</f>
        <v>0</v>
      </c>
      <c r="C93" s="121">
        <f>IF($A93&lt;$B$5+$B$4,-LOOKUP($A93,Cot_droits!$A$17:$A$68,Cot_droits!$Q$17:$Q$68)/LOOKUP($A93,Barèmes!$A$65:$A$148,Barèmes!$C$65:$C$148),IF(AND($A93&gt;=$B$5+$B$4,$A93&lt;=INT($B$8)-1+$B$4),LOOKUP($A93,Retraite!$A$7:$A$47,Retraite!N$7:$N$47)/LOOKUP($A93,Barèmes!$A$65:$A$148,Barèmes!$C$65:$C$148),IF($A93=INT($B$8+$B$4),(LOOKUP($A93,Retraite!$A$7:$A$47,Retraite!$N$7:$N$47)/LOOKUP($A93,Barèmes!$A$65:$A$148,Barèmes!$C$65:$C$148))*(1-(INT($B$8)+1-$B$8)),0)))</f>
        <v>0</v>
      </c>
      <c r="D93" s="115"/>
      <c r="E93" s="131">
        <f>IF($A93&lt;$B$5+$B$4,-(LOOKUP($A93,Cot_droits!$A$17:$A$68,Cot_droits!$H$17:$H$68)+LOOKUP($A93,Cot_droits!$A$17:$A$68,Cot_droits!$L$17:$L$68))/LOOKUP($A93,Barèmes!$A$65:$A$148,Barèmes!$C$65:$C$148),IF(AND($A93&gt;=$B$5+$B$4,$A93&lt;=INT($B$8)-1+$B$4),LOOKUP($A93,Retraite!$A$7:$A$47,Retraite!$L$7:$L$47)/LOOKUP($A93,Barèmes!$A$65:$A$148,Barèmes!$C$65:$C$148),IF($A93=INT($B$8+$B$4),(LOOKUP($A93,Retraite!$A$7:$A$47,Retraite!$L$7:$L$47)/LOOKUP($A93,Barèmes!$A$65:$A$148,Barèmes!$C$65:$C$148))*(1-(INT($B$8)+1-$B$8)),0)))</f>
        <v>0</v>
      </c>
      <c r="F93" s="121">
        <f>IF($A93&lt;$B$5+$B$4,-(LOOKUP($A93,Cot_droits!$A$17:$A$68,Cot_droits!$H$17:$H$68)+LOOKUP($A93,Cot_droits!$A$17:$A$68,Cot_droits!$L$17:$L$68))/LOOKUP($A93,Barèmes!$A$65:$A$148,Barèmes!$C$65:$C$148),IF(AND($A93&gt;=$B$5+$B$4,$A93&lt;=INT($B$8)-1+$B$4),LOOKUP($A93,Retraite!$A$7:$A$47,Retraite!$P$7:P$47)/LOOKUP($A93,Barèmes!$A$65:$A$148,Barèmes!$C$65:$C$148),IF($A93=INT($B$8+$B$4),(LOOKUP($A93,Retraite!$A$7:$A$47,Retraite!$P$7:$P$47)/LOOKUP($A93,Barèmes!$A$65:$A$148,Barèmes!$C$65:$C$148))*(1-(INT($B$8)+1-$B$8)),0)))</f>
        <v>0</v>
      </c>
      <c r="H93" s="131">
        <f>IF($A93&lt;$B$5+$B$4,-(LOOKUP($A93,Cot_droits!$A$17:$A$68,Cot_droits!$I$17:$I$68)+LOOKUP($A93,Cot_droits!$A$17:$A$68,Cot_droits!$J$17:$J$68)+LOOKUP($A93,Cot_droits!$A$17:$A$68,Cot_droits!$N$17:$N$68))/LOOKUP($A93,Barèmes!$A$65:$A$148,Barèmes!$C$65:$C$148),IF(AND($A93&gt;=$B$5+$B$4,$A93&lt;=INT($B$8)-1+$B$4),LOOKUP($A93,Retraite!$A$7:$A$47,Retraite!$M$7:$M$47)/LOOKUP($A93,Barèmes!$A$65:$A$148,Barèmes!$C$65:$C$148),IF($A93=INT($B$8+$B$4),(LOOKUP($A93,Retraite!$A$7:$A$47,Retraite!$M$7:$M$47)/LOOKUP($A93,Barèmes!$A$65:$A$148,Barèmes!$C$65:$C$148))*(1-(INT($B$8)+1-$B$8)),0)))</f>
        <v>0</v>
      </c>
      <c r="I93" s="121">
        <f>IF($A93&lt;$B$5+$B$4,-(LOOKUP($A93,Cot_droits!$A$17:$A$68,Cot_droits!$I$17:$I$68)+LOOKUP($A93,Cot_droits!$A$17:$A$68,Cot_droits!$J$17:$J$68)+LOOKUP($A93,Cot_droits!$A$17:$A$68,Cot_droits!$N$17:$N$68))/LOOKUP($A93,Barèmes!$A$65:$A$148,Barèmes!$C$65:$C$148),IF(AND($A93&gt;=$B$5+$B$4,$A93&lt;=INT($B$8)-1+$B$4),LOOKUP($A93,Retraite!$A$7:$A$47,Retraite!$Q$7:Q$47)/LOOKUP($A93,Barèmes!$A$65:$A$148,Barèmes!$C$65:$C$148),IF($A93=INT($B$8+$B$4),(LOOKUP($A93,Retraite!$A$7:$A$47,Retraite!$Q$7:$Q$47)/LOOKUP($A93,Barèmes!$A$65:$A$148,Barèmes!$C$65:$C$148))*(1-(INT($B$8)+1-$B$8)),0)))</f>
        <v>0</v>
      </c>
      <c r="J93" s="115"/>
    </row>
    <row r="94" spans="1:10" s="43" customFormat="1" ht="15.75" customHeight="1" x14ac:dyDescent="0.25">
      <c r="A94" s="125">
        <f t="shared" si="1"/>
        <v>2099</v>
      </c>
      <c r="B94" s="131">
        <f>IF($A94&lt;$B$5+$B$4,-LOOKUP($A94,Cot_droits!$A$17:$A$68,Cot_droits!$Q$17:$Q$68)/LOOKUP($A94,Barèmes!$A$65:$A$148,Barèmes!$C$65:$C$148),IF(AND($A94&gt;=$B$5+$B$4,$A94&lt;=INT($B$8)+$B$4-1),LOOKUP($A94,Retraite!$A$7:$A$47,Retraite!$K$7:$K$47)/LOOKUP($A94,Barèmes!$A$65:$A$148,Barèmes!$C$65:$C$148),IF($A94=INT($B$8+$B$4),(LOOKUP($A94,Retraite!$A$7:$A$47,Retraite!$K$7:$K$47)/LOOKUP($A94,Barèmes!$A$65:$A$148,Barèmes!$C$65:$C$148))*(1-(INT($B$8+1)-$B$8)),0)))</f>
        <v>0</v>
      </c>
      <c r="C94" s="121">
        <f>IF($A94&lt;$B$5+$B$4,-LOOKUP($A94,Cot_droits!$A$17:$A$68,Cot_droits!$Q$17:$Q$68)/LOOKUP($A94,Barèmes!$A$65:$A$148,Barèmes!$C$65:$C$148),IF(AND($A94&gt;=$B$5+$B$4,$A94&lt;=INT($B$8)-1+$B$4),LOOKUP($A94,Retraite!$A$7:$A$47,Retraite!N$7:$N$47)/LOOKUP($A94,Barèmes!$A$65:$A$148,Barèmes!$C$65:$C$148),IF($A94=INT($B$8+$B$4),(LOOKUP($A94,Retraite!$A$7:$A$47,Retraite!$N$7:$N$47)/LOOKUP($A94,Barèmes!$A$65:$A$148,Barèmes!$C$65:$C$148))*(1-(INT($B$8)+1-$B$8)),0)))</f>
        <v>0</v>
      </c>
      <c r="D94" s="115"/>
      <c r="E94" s="131">
        <f>IF($A94&lt;$B$5+$B$4,-(LOOKUP($A94,Cot_droits!$A$17:$A$68,Cot_droits!$H$17:$H$68)+LOOKUP($A94,Cot_droits!$A$17:$A$68,Cot_droits!$L$17:$L$68))/LOOKUP($A94,Barèmes!$A$65:$A$148,Barèmes!$C$65:$C$148),IF(AND($A94&gt;=$B$5+$B$4,$A94&lt;=INT($B$8)-1+$B$4),LOOKUP($A94,Retraite!$A$7:$A$47,Retraite!$L$7:$L$47)/LOOKUP($A94,Barèmes!$A$65:$A$148,Barèmes!$C$65:$C$148),IF($A94=INT($B$8+$B$4),(LOOKUP($A94,Retraite!$A$7:$A$47,Retraite!$L$7:$L$47)/LOOKUP($A94,Barèmes!$A$65:$A$148,Barèmes!$C$65:$C$148))*(1-(INT($B$8)+1-$B$8)),0)))</f>
        <v>0</v>
      </c>
      <c r="F94" s="121">
        <f>IF($A94&lt;$B$5+$B$4,-(LOOKUP($A94,Cot_droits!$A$17:$A$68,Cot_droits!$H$17:$H$68)+LOOKUP($A94,Cot_droits!$A$17:$A$68,Cot_droits!$L$17:$L$68))/LOOKUP($A94,Barèmes!$A$65:$A$148,Barèmes!$C$65:$C$148),IF(AND($A94&gt;=$B$5+$B$4,$A94&lt;=INT($B$8)-1+$B$4),LOOKUP($A94,Retraite!$A$7:$A$47,Retraite!$P$7:P$47)/LOOKUP($A94,Barèmes!$A$65:$A$148,Barèmes!$C$65:$C$148),IF($A94=INT($B$8+$B$4),(LOOKUP($A94,Retraite!$A$7:$A$47,Retraite!$P$7:$P$47)/LOOKUP($A94,Barèmes!$A$65:$A$148,Barèmes!$C$65:$C$148))*(1-(INT($B$8)+1-$B$8)),0)))</f>
        <v>0</v>
      </c>
      <c r="H94" s="131">
        <f>IF($A94&lt;$B$5+$B$4,-(LOOKUP($A94,Cot_droits!$A$17:$A$68,Cot_droits!$I$17:$I$68)+LOOKUP($A94,Cot_droits!$A$17:$A$68,Cot_droits!$J$17:$J$68)+LOOKUP($A94,Cot_droits!$A$17:$A$68,Cot_droits!$N$17:$N$68))/LOOKUP($A94,Barèmes!$A$65:$A$148,Barèmes!$C$65:$C$148),IF(AND($A94&gt;=$B$5+$B$4,$A94&lt;=INT($B$8)-1+$B$4),LOOKUP($A94,Retraite!$A$7:$A$47,Retraite!$M$7:$M$47)/LOOKUP($A94,Barèmes!$A$65:$A$148,Barèmes!$C$65:$C$148),IF($A94=INT($B$8+$B$4),(LOOKUP($A94,Retraite!$A$7:$A$47,Retraite!$M$7:$M$47)/LOOKUP($A94,Barèmes!$A$65:$A$148,Barèmes!$C$65:$C$148))*(1-(INT($B$8)+1-$B$8)),0)))</f>
        <v>0</v>
      </c>
      <c r="I94" s="121">
        <f>IF($A94&lt;$B$5+$B$4,-(LOOKUP($A94,Cot_droits!$A$17:$A$68,Cot_droits!$I$17:$I$68)+LOOKUP($A94,Cot_droits!$A$17:$A$68,Cot_droits!$J$17:$J$68)+LOOKUP($A94,Cot_droits!$A$17:$A$68,Cot_droits!$N$17:$N$68))/LOOKUP($A94,Barèmes!$A$65:$A$148,Barèmes!$C$65:$C$148),IF(AND($A94&gt;=$B$5+$B$4,$A94&lt;=INT($B$8)-1+$B$4),LOOKUP($A94,Retraite!$A$7:$A$47,Retraite!$Q$7:Q$47)/LOOKUP($A94,Barèmes!$A$65:$A$148,Barèmes!$C$65:$C$148),IF($A94=INT($B$8+$B$4),(LOOKUP($A94,Retraite!$A$7:$A$47,Retraite!$Q$7:$Q$47)/LOOKUP($A94,Barèmes!$A$65:$A$148,Barèmes!$C$65:$C$148))*(1-(INT($B$8)+1-$B$8)),0)))</f>
        <v>0</v>
      </c>
      <c r="J94" s="115"/>
    </row>
    <row r="95" spans="1:10" s="43" customFormat="1" ht="15.75" customHeight="1" thickBot="1" x14ac:dyDescent="0.3">
      <c r="A95" s="126">
        <f t="shared" si="1"/>
        <v>2100</v>
      </c>
      <c r="B95" s="132">
        <f>IF($A95&lt;$B$5+$B$4,-LOOKUP($A95,Cot_droits!$A$17:$A$68,Cot_droits!$Q$17:$Q$68)/LOOKUP($A95,Barèmes!$A$65:$A$148,Barèmes!$C$65:$C$148),IF(AND($A95&gt;=$B$5+$B$4,$A95&lt;=INT($B$8)+$B$4-1),LOOKUP($A95,Retraite!$A$7:$A$47,Retraite!$K$7:$K$47)/LOOKUP($A95,Barèmes!$A$65:$A$148,Barèmes!$C$65:$C$148),IF($A95=INT($B$8+$B$4),(LOOKUP($A95,Retraite!$A$7:$A$47,Retraite!$K$7:$K$47)/LOOKUP($A95,Barèmes!$A$65:$A$148,Barèmes!$C$65:$C$148))*(1-(INT($B$8+1)-$B$8)),0)))</f>
        <v>0</v>
      </c>
      <c r="C95" s="123">
        <f>IF($A95&lt;$B$5+$B$4,-LOOKUP($A95,Cot_droits!$A$17:$A$68,Cot_droits!$Q$17:$Q$68)/LOOKUP($A95,Barèmes!$A$65:$A$148,Barèmes!$C$65:$C$148),IF(AND($A95&gt;=$B$5+$B$4,$A95&lt;=INT($B$8)-1+$B$4),LOOKUP($A95,Retraite!$A$7:$A$47,Retraite!N$7:$N$47)/LOOKUP($A95,Barèmes!$A$65:$A$148,Barèmes!$C$65:$C$148),IF($A95=INT($B$8+$B$4),(LOOKUP($A95,Retraite!$A$7:$A$47,Retraite!$N$7:$N$47)/LOOKUP($A95,Barèmes!$A$65:$A$148,Barèmes!$C$65:$C$148))*(1-(INT($B$8)+1-$B$8)),0)))</f>
        <v>0</v>
      </c>
      <c r="D95" s="115"/>
      <c r="E95" s="132">
        <f>IF($A95&lt;$B$5+$B$4,-(LOOKUP($A95,Cot_droits!$A$17:$A$68,Cot_droits!$H$17:$H$68)+LOOKUP($A95,Cot_droits!$A$17:$A$68,Cot_droits!$L$17:$L$68))/LOOKUP($A95,Barèmes!$A$65:$A$148,Barèmes!$C$65:$C$148),IF(AND($A95&gt;=$B$5+$B$4,$A95&lt;=INT($B$8)-1+$B$4),LOOKUP($A95,Retraite!$A$7:$A$47,Retraite!$L$7:$L$47)/LOOKUP($A95,Barèmes!$A$65:$A$148,Barèmes!$C$65:$C$148),IF($A95=INT($B$8+$B$4),(LOOKUP($A95,Retraite!$A$7:$A$47,Retraite!$L$7:$L$47)/LOOKUP($A95,Barèmes!$A$65:$A$148,Barèmes!$C$65:$C$148))*(1-(INT($B$8)+1-$B$8)),0)))</f>
        <v>0</v>
      </c>
      <c r="F95" s="123">
        <f>IF($A95&lt;$B$5+$B$4,-(LOOKUP($A95,Cot_droits!$A$17:$A$68,Cot_droits!$H$17:$H$68)+LOOKUP($A95,Cot_droits!$A$17:$A$68,Cot_droits!$L$17:$L$68))/LOOKUP($A95,Barèmes!$A$65:$A$148,Barèmes!$C$65:$C$148),IF(AND($A95&gt;=$B$5+$B$4,$A95&lt;=INT($B$8)-1+$B$4),LOOKUP($A95,Retraite!$A$7:$A$47,Retraite!$P$7:P$47)/LOOKUP($A95,Barèmes!$A$65:$A$148,Barèmes!$C$65:$C$148),IF($A95=INT($B$8+$B$4),(LOOKUP($A95,Retraite!$A$7:$A$47,Retraite!$P$7:$P$47)/LOOKUP($A95,Barèmes!$A$65:$A$148,Barèmes!$C$65:$C$148))*(1-(INT($B$8)+1-$B$8)),0)))</f>
        <v>0</v>
      </c>
      <c r="H95" s="132">
        <f>IF($A95&lt;$B$5+$B$4,-(LOOKUP($A95,Cot_droits!$A$17:$A$68,Cot_droits!$I$17:$I$68)+LOOKUP($A95,Cot_droits!$A$17:$A$68,Cot_droits!$J$17:$J$68)+LOOKUP($A95,Cot_droits!$A$17:$A$68,Cot_droits!$N$17:$N$68))/LOOKUP($A95,Barèmes!$A$65:$A$148,Barèmes!$C$65:$C$148),IF(AND($A95&gt;=$B$5+$B$4,$A95&lt;=INT($B$8)-1+$B$4),LOOKUP($A95,Retraite!$A$7:$A$47,Retraite!$M$7:$M$47)/LOOKUP($A95,Barèmes!$A$65:$A$148,Barèmes!$C$65:$C$148),IF($A95=INT($B$8+$B$4),(LOOKUP($A95,Retraite!$A$7:$A$47,Retraite!$M$7:$M$47)/LOOKUP($A95,Barèmes!$A$65:$A$148,Barèmes!$C$65:$C$148))*(1-(INT($B$8)+1-$B$8)),0)))</f>
        <v>0</v>
      </c>
      <c r="I95" s="123">
        <f>IF($A95&lt;$B$5+$B$4,-(LOOKUP($A95,Cot_droits!$A$17:$A$68,Cot_droits!$I$17:$I$68)+LOOKUP($A95,Cot_droits!$A$17:$A$68,Cot_droits!$J$17:$J$68)+LOOKUP($A95,Cot_droits!$A$17:$A$68,Cot_droits!$N$17:$N$68))/LOOKUP($A95,Barèmes!$A$65:$A$148,Barèmes!$C$65:$C$148),IF(AND($A95&gt;=$B$5+$B$4,$A95&lt;=INT($B$8)-1+$B$4),LOOKUP($A95,Retraite!$A$7:$A$47,Retraite!$Q$7:Q$47)/LOOKUP($A95,Barèmes!$A$65:$A$148,Barèmes!$C$65:$C$148),IF($A95=INT($B$8+$B$4),(LOOKUP($A95,Retraite!$A$7:$A$47,Retraite!$Q$7:$Q$47)/LOOKUP($A95,Barèmes!$A$65:$A$148,Barèmes!$C$65:$C$148))*(1-(INT($B$8)+1-$B$8)),0)))</f>
        <v>0</v>
      </c>
      <c r="J95" s="115"/>
    </row>
    <row r="96" spans="1:10" s="43" customFormat="1" ht="15.75" customHeight="1" x14ac:dyDescent="0.25">
      <c r="A96" s="4"/>
      <c r="G96" s="41"/>
    </row>
    <row r="97" spans="1:7" s="43" customFormat="1" ht="15.75" customHeight="1" x14ac:dyDescent="0.25">
      <c r="A97" s="4"/>
      <c r="G97" s="41"/>
    </row>
  </sheetData>
  <mergeCells count="18">
    <mergeCell ref="B8:C8"/>
    <mergeCell ref="B2:C2"/>
    <mergeCell ref="B4:C4"/>
    <mergeCell ref="B5:C5"/>
    <mergeCell ref="B6:C6"/>
    <mergeCell ref="B7:C7"/>
    <mergeCell ref="H8:I8"/>
    <mergeCell ref="E2:F2"/>
    <mergeCell ref="E4:F4"/>
    <mergeCell ref="E5:F5"/>
    <mergeCell ref="E6:F6"/>
    <mergeCell ref="E7:F7"/>
    <mergeCell ref="E8:F8"/>
    <mergeCell ref="H2:I2"/>
    <mergeCell ref="H4:I4"/>
    <mergeCell ref="H5:I5"/>
    <mergeCell ref="H6:I6"/>
    <mergeCell ref="H7:I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97"/>
  <sheetViews>
    <sheetView showGridLines="0" workbookViewId="0">
      <selection activeCell="C16" sqref="C16"/>
    </sheetView>
  </sheetViews>
  <sheetFormatPr baseColWidth="10" defaultRowHeight="15.75" customHeight="1" x14ac:dyDescent="0.25"/>
  <cols>
    <col min="1" max="1" width="25.85546875" style="1" customWidth="1"/>
    <col min="2" max="3" width="17" style="41" customWidth="1"/>
    <col min="4" max="4" width="11.42578125" style="41"/>
    <col min="5" max="6" width="17" style="41" customWidth="1"/>
    <col min="7" max="7" width="11.42578125" style="41"/>
    <col min="8" max="9" width="17" style="41" customWidth="1"/>
    <col min="10" max="16384" width="11.42578125" style="41"/>
  </cols>
  <sheetData>
    <row r="1" spans="1:12" ht="32.25" customHeight="1" x14ac:dyDescent="0.25">
      <c r="A1" s="128" t="s">
        <v>133</v>
      </c>
      <c r="B1" s="128" t="s">
        <v>134</v>
      </c>
      <c r="E1" s="128"/>
      <c r="H1" s="128"/>
    </row>
    <row r="2" spans="1:12" ht="15.75" customHeight="1" x14ac:dyDescent="0.3">
      <c r="B2" s="775" t="s">
        <v>135</v>
      </c>
      <c r="C2" s="775"/>
      <c r="E2" s="775" t="s">
        <v>90</v>
      </c>
      <c r="F2" s="775"/>
      <c r="H2" s="775" t="s">
        <v>16</v>
      </c>
      <c r="I2" s="775"/>
    </row>
    <row r="3" spans="1:12" ht="7.5" customHeight="1" thickBot="1" x14ac:dyDescent="0.35">
      <c r="B3" s="360"/>
      <c r="C3" s="360"/>
      <c r="E3" s="360"/>
      <c r="F3" s="360"/>
      <c r="H3" s="360"/>
      <c r="I3" s="360"/>
    </row>
    <row r="4" spans="1:12" s="43" customFormat="1" ht="15.75" customHeight="1" thickBot="1" x14ac:dyDescent="0.3">
      <c r="A4" s="114" t="s">
        <v>30</v>
      </c>
      <c r="B4" s="776">
        <f>Simulation!$D$4</f>
        <v>2000</v>
      </c>
      <c r="C4" s="777"/>
      <c r="E4" s="776">
        <f>Simulation!$D$4</f>
        <v>2000</v>
      </c>
      <c r="F4" s="777"/>
      <c r="H4" s="776">
        <f>Simulation!$D$4</f>
        <v>2000</v>
      </c>
      <c r="I4" s="777"/>
    </row>
    <row r="5" spans="1:12" s="43" customFormat="1" ht="15.75" customHeight="1" x14ac:dyDescent="0.25">
      <c r="A5" s="127" t="s">
        <v>31</v>
      </c>
      <c r="B5" s="778">
        <f>Simulation!$D$6</f>
        <v>64</v>
      </c>
      <c r="C5" s="779"/>
      <c r="E5" s="778">
        <f>Simulation!$D$6</f>
        <v>64</v>
      </c>
      <c r="F5" s="779"/>
      <c r="H5" s="778">
        <f>Simulation!$D$6</f>
        <v>64</v>
      </c>
      <c r="I5" s="779"/>
    </row>
    <row r="6" spans="1:12" s="43" customFormat="1" ht="15.75" customHeight="1" x14ac:dyDescent="0.25">
      <c r="A6" s="125" t="s">
        <v>51</v>
      </c>
      <c r="B6" s="780" t="str">
        <f>Simulation!$D$8</f>
        <v>Neutre</v>
      </c>
      <c r="C6" s="781"/>
      <c r="E6" s="780" t="str">
        <f>Simulation!$D$8</f>
        <v>Neutre</v>
      </c>
      <c r="F6" s="781"/>
      <c r="H6" s="780" t="str">
        <f>Simulation!$D$8</f>
        <v>Neutre</v>
      </c>
      <c r="I6" s="781"/>
    </row>
    <row r="7" spans="1:12" s="43" customFormat="1" ht="15.75" customHeight="1" x14ac:dyDescent="0.25">
      <c r="A7" s="125" t="s">
        <v>49</v>
      </c>
      <c r="B7" s="780" t="str">
        <f>Simulation!$D$9</f>
        <v>Moyen</v>
      </c>
      <c r="C7" s="781"/>
      <c r="E7" s="780" t="str">
        <f>Simulation!$D$9</f>
        <v>Moyen</v>
      </c>
      <c r="F7" s="781"/>
      <c r="H7" s="780" t="str">
        <f>Simulation!$D$9</f>
        <v>Moyen</v>
      </c>
      <c r="I7" s="781"/>
    </row>
    <row r="8" spans="1:12" s="43" customFormat="1" ht="15.75" customHeight="1" thickBot="1" x14ac:dyDescent="0.3">
      <c r="A8" s="126" t="s">
        <v>136</v>
      </c>
      <c r="B8" s="773">
        <f>IF(AND($B$6="Homme",$B$7="Moyen"),LOOKUP($B$5,EV!$B$16:$B$23,EV!$C$16:$C$23),IF(AND($B$6="Femme",$B$7="Moyen"),LOOKUP($B$5,EV!$B$16:$B$23,EV!$D$16:$D$23),IF(AND($B$6="Neutre",$B$7="Moyen"),LOOKUP($B$5,EV!$B$16:$B$23,EV!$E$16:$E$23),IF(AND($B$6="Homme",$B$7="Cadre"),LOOKUP($B$5,EV!$B$16:$B$23,EV!$F$16:$F$23),IF(AND($B$6="Femme",$B$7="Cadre"),LOOKUP($B$5,EV!$B$16:$B$23,EV!$G$16:$G$23),IF(AND($B$6="Neutre",$B$7="Cadre"),LOOKUP($B$5,EV!$B$16:$B$23,EV!$H$16:$H$23),IF(AND($B$6="Homme",$B$7="Ouvrier"),LOOKUP($B$5,EV!$B$16:$B$23,EV!$I$16:$I$23),IF(AND($B$6="Femme",$B$7="Ouvrier"),LOOKUP($B$5,EV!$B$16:$B$23,EV!$J$16:$J$23),LOOKUP($B$5,EV!$B$16:$B$23,EV!$K$16:$K$23)))))))))</f>
        <v>91.05329307138409</v>
      </c>
      <c r="C8" s="774"/>
      <c r="D8" s="92"/>
      <c r="E8" s="773">
        <f>IF(AND($B$6="Homme",$B$7="Moyen"),LOOKUP($B$5,EV!$B$16:$B$23,EV!$C$16:$C$23),IF(AND($B$6="Femme",$B$7="Moyen"),LOOKUP($B$5,EV!$B$16:$B$23,EV!$D$16:$D$23),IF(AND($B$6="Neutre",$B$7="Moyen"),LOOKUP($B$5,EV!$B$16:$B$23,EV!$E$16:$E$23),IF(AND($B$6="Homme",$B$7="Cadre"),LOOKUP($B$5,EV!$B$16:$B$23,EV!$F$16:$F$23),IF(AND($B$6="Femme",$B$7="Cadre"),LOOKUP($B$5,EV!$B$16:$B$23,EV!$G$16:$G$23),IF(AND($B$6="Neutre",$B$7="Cadre"),LOOKUP($B$5,EV!$B$16:$B$23,EV!$H$16:$H$23),IF(AND($B$6="Homme",$B$7="Ouvrier"),LOOKUP($B$5,EV!$B$16:$B$23,EV!$I$16:$I$23),IF(AND($B$6="Femme",$B$7="Ouvrier"),LOOKUP($B$5,EV!$B$16:$B$23,EV!$J$16:$J$23),LOOKUP($B$5,EV!$B$16:$B$23,EV!$K$16:$K$23)))))))))</f>
        <v>91.05329307138409</v>
      </c>
      <c r="F8" s="774"/>
      <c r="H8" s="773">
        <f>IF(AND($B$6="Homme",$B$7="Moyen"),LOOKUP($B$5,EV!$B$16:$B$23,EV!$C$16:$C$23),IF(AND($B$6="Femme",$B$7="Moyen"),LOOKUP($B$5,EV!$B$16:$B$23,EV!$D$16:$D$23),IF(AND($B$6="Neutre",$B$7="Moyen"),LOOKUP($B$5,EV!$B$16:$B$23,EV!$E$16:$E$23),IF(AND($B$6="Homme",$B$7="Cadre"),LOOKUP($B$5,EV!$B$16:$B$23,EV!$F$16:$F$23),IF(AND($B$6="Femme",$B$7="Cadre"),LOOKUP($B$5,EV!$B$16:$B$23,EV!$G$16:$G$23),IF(AND($B$6="Neutre",$B$7="Cadre"),LOOKUP($B$5,EV!$B$16:$B$23,EV!$H$16:$H$23),IF(AND($B$6="Homme",$B$7="Ouvrier"),LOOKUP($B$5,EV!$B$16:$B$23,EV!$I$16:$I$23),IF(AND($B$6="Femme",$B$7="Ouvrier"),LOOKUP($B$5,EV!$B$16:$B$23,EV!$J$16:$J$23),LOOKUP($B$5,EV!$B$16:$B$23,EV!$K$16:$K$23)))))))))</f>
        <v>91.05329307138409</v>
      </c>
      <c r="I8" s="774"/>
    </row>
    <row r="9" spans="1:12" ht="15.75" customHeight="1" thickBot="1" x14ac:dyDescent="0.3"/>
    <row r="10" spans="1:12" ht="15.75" customHeight="1" thickBot="1" x14ac:dyDescent="0.3">
      <c r="B10" s="117" t="s">
        <v>105</v>
      </c>
      <c r="C10" s="119" t="s">
        <v>106</v>
      </c>
      <c r="E10" s="117" t="s">
        <v>105</v>
      </c>
      <c r="F10" s="119" t="s">
        <v>106</v>
      </c>
      <c r="H10" s="117" t="s">
        <v>105</v>
      </c>
      <c r="I10" s="119" t="s">
        <v>106</v>
      </c>
    </row>
    <row r="11" spans="1:12" s="361" customFormat="1" ht="15.75" customHeight="1" thickBot="1" x14ac:dyDescent="0.3">
      <c r="A11" s="169" t="s">
        <v>32</v>
      </c>
      <c r="B11" s="170">
        <f ca="1">IRR(B12:B95)</f>
        <v>5.9730092216416786E-3</v>
      </c>
      <c r="C11" s="171">
        <f ca="1">IRR(C12:C95)</f>
        <v>2.9217985389287104E-3</v>
      </c>
      <c r="E11" s="170">
        <f>IRR(E12:E95)</f>
        <v>1.1823138837258496E-2</v>
      </c>
      <c r="F11" s="171">
        <f ca="1">IRR(F12:F95)</f>
        <v>8.8652522324490501E-3</v>
      </c>
      <c r="H11" s="170">
        <f ca="1">IRR(H12:H95)</f>
        <v>-8.3030695290363665E-3</v>
      </c>
      <c r="I11" s="171">
        <f ca="1">IRR(I12:I95)</f>
        <v>-1.1655873107736414E-2</v>
      </c>
    </row>
    <row r="12" spans="1:12" s="43" customFormat="1" ht="15.75" customHeight="1" x14ac:dyDescent="0.25">
      <c r="A12" s="124">
        <f>Cot_droits!A17</f>
        <v>2017</v>
      </c>
      <c r="B12" s="129">
        <f>IF($A12&lt;$B$5+$B$4,-LOOKUP($A12,Cot_droits!$A$17:$A$68,Cot_droits!$Q$17:$Q$68)/LOOKUP($A12,Barèmes!$A$65:$A$148,Barèmes!$G$65:$G$148),IF(AND($A12&gt;=$B$5+$B$4,$A12&lt;=INT($B$8)+$B$4-1),LOOKUP($A12,Retraite!$A$7:$A$47,Retraite!$K$7:$K$47)/LOOKUP($A12,Barèmes!$A$65:$A$148,Barèmes!$G$65:$G$148),IF($A12=INT($B$8+$B$4),(LOOKUP($A12,Retraite!$A$7:$A$47,Retraite!$K$7:$K$47)/LOOKUP($A12,Barèmes!$A$65:$A$148,Barèmes!$G$65:$G$148))*(1-(INT($B$8+1)-$B$8)),0)))</f>
        <v>0</v>
      </c>
      <c r="C12" s="130">
        <f>IF($A12&lt;$B$5+$B$4,-LOOKUP($A12,Cot_droits!$A$17:$A$68,Cot_droits!$Q$17:$Q$68)/LOOKUP($A12,Barèmes!$A$65:$A$148,Barèmes!$G$65:$G$148),IF(AND($A12&gt;=$B$5+$B$4,$A12&lt;=INT($B$8)-1+$B$4),LOOKUP($A12,Retraite!$A$7:$A$47,Retraite!N$7:$N$47)/LOOKUP($A12,Barèmes!$A$65:$A$148,Barèmes!$G$65:$G$148),IF($A12=INT($B$8+$B$4),(LOOKUP($A12,Retraite!$A$7:$A$47,Retraite!$N$7:$N$47)/LOOKUP($A12,Barèmes!$A$65:$A$148,Barèmes!$G$65:$G$148))*(1-(INT($B$8)+1-$B$8)),0)))</f>
        <v>0</v>
      </c>
      <c r="E12" s="129">
        <f>IF($A12&lt;$B$5+$B$4,-(LOOKUP($A12,Cot_droits!$A$17:$A$68,Cot_droits!$H$17:$H$68)+LOOKUP($A12,Cot_droits!$A$17:$A$68,Cot_droits!$L$17:$L$68))/LOOKUP($A12,Barèmes!$A$65:$A$148,Barèmes!$G$65:$G$148),IF(AND($A12&gt;=$B$5+$B$4,$A12&lt;=INT($B$8)-1+$B$4),LOOKUP($A12,Retraite!$A$7:$A$47,Retraite!$L$7:$L$47)/LOOKUP($A12,Barèmes!$A$65:$A$148,Barèmes!$G$65:$G$148),IF($A12=INT($B$8+$B$4),(LOOKUP($A12,Retraite!$A$7:$A$47,Retraite!$L$7:$L$47)/LOOKUP($A12,Barèmes!$A$65:$A$148,Barèmes!$G$65:$G$148))*(1-(INT($B$8)+1-$B$8)),0)))</f>
        <v>0</v>
      </c>
      <c r="F12" s="130">
        <f>IF($A12&lt;$B$5+$B$4,-(LOOKUP($A12,Cot_droits!$A$17:$A$68,Cot_droits!$H$17:$H$68)+LOOKUP($A12,Cot_droits!$A$17:$A$68,Cot_droits!$L$17:$L$68))/LOOKUP($A12,Barèmes!$A$65:$A$148,Barèmes!$G$65:$G$148),IF(AND($A12&gt;=$B$5+$B$4,$A12&lt;=INT($B$8)-1+$B$4),LOOKUP($A12,Retraite!$A$7:$A$47,Retraite!$P$7:P$47)/LOOKUP($A12,Barèmes!$A$65:$A$148,Barèmes!$G$65:$G$148),IF($A12=INT($B$8+$B$4),(LOOKUP($A12,Retraite!$A$7:$A$47,Retraite!$P$7:$P$47)/LOOKUP($A12,Barèmes!$A$65:$A$148,Barèmes!$G$65:$G$148))*(1-(INT($B$8)+1-$B$8)),0)))</f>
        <v>0</v>
      </c>
      <c r="H12" s="129">
        <f>IF($A12&lt;$B$5+$B$4,-(LOOKUP($A12,Cot_droits!$A$17:$A$68,Cot_droits!$I$17:$I$68)+LOOKUP($A12,Cot_droits!$A$17:$A$68,Cot_droits!$J$17:$J$68)+LOOKUP($A12,Cot_droits!$A$17:$A$68,Cot_droits!$N$17:$N$68))/LOOKUP($A12,Barèmes!$A$65:$A$148,Barèmes!$G$65:$G$148),IF(AND($A12&gt;=$B$5+$B$4,$A12&lt;=INT($B$8)-1+$B$4),LOOKUP($A12,Retraite!$A$7:$A$47,Retraite!$M$7:$M$47)/LOOKUP($A12,Barèmes!$A$65:$A$148,Barèmes!$G$65:$G$148),IF($A12=INT($B$8+$B$4),(LOOKUP($A12,Retraite!$A$7:$A$47,Retraite!$M$7:$M$47)/LOOKUP($A12,Barèmes!$A$65:$A$148,Barèmes!$G$65:$G$148))*(1-(INT($B$8)+1-$B$8)),0)))</f>
        <v>0</v>
      </c>
      <c r="I12" s="130">
        <f>IF($A12&lt;$B$5+$B$4,-(LOOKUP($A12,Cot_droits!$A$17:$A$68,Cot_droits!$I$17:$I$68)+LOOKUP($A12,Cot_droits!$A$17:$A$68,Cot_droits!$J$17:$J$68)+LOOKUP($A12,Cot_droits!$A$17:$A$68,Cot_droits!$N$17:$N$68))/LOOKUP($A12,Barèmes!$A$65:$A$148,Barèmes!$G$65:$G$148),IF(AND($A12&gt;=$B$5+$B$4,$A12&lt;=INT($B$8)-1+$B$4),LOOKUP($A12,Retraite!$A$7:$A$47,Retraite!$Q$7:Q$47)/LOOKUP($A12,Barèmes!$A$65:$A$148,Barèmes!$G$65:$G$148),IF($A12=INT($B$8+$B$4),(LOOKUP($A12,Retraite!$A$7:$A$47,Retraite!$Q$7:$Q$47)/LOOKUP($A12,Barèmes!$A$65:$A$148,Barèmes!$G$65:$G$148))*(1-(INT($B$8)+1-$B$8)),0)))</f>
        <v>0</v>
      </c>
    </row>
    <row r="13" spans="1:12" s="43" customFormat="1" ht="15.75" customHeight="1" x14ac:dyDescent="0.25">
      <c r="A13" s="125">
        <f>A12+1</f>
        <v>2018</v>
      </c>
      <c r="B13" s="131">
        <f>IF($A13&lt;$B$5+$B$4,-LOOKUP($A13,Cot_droits!$A$17:$A$68,Cot_droits!$Q$17:$Q$68)/LOOKUP($A13,Barèmes!$A$65:$A$148,Barèmes!$G$65:$G$148),IF(AND($A13&gt;=$B$5+$B$4,$A13&lt;=INT($B$8)+$B$4-1),LOOKUP($A13,Retraite!$A$7:$A$47,Retraite!$K$7:$K$47)/LOOKUP($A13,Barèmes!$A$65:$A$148,Barèmes!$G$65:$G$148),IF($A13=INT($B$8+$B$4),(LOOKUP($A13,Retraite!$A$7:$A$47,Retraite!$K$7:$K$47)/LOOKUP($A13,Barèmes!$A$65:$A$148,Barèmes!$G$65:$G$148))*(1-(INT($B$8+1)-$B$8)),0)))</f>
        <v>0</v>
      </c>
      <c r="C13" s="121">
        <f>IF($A13&lt;$B$5+$B$4,-LOOKUP($A13,Cot_droits!$A$17:$A$68,Cot_droits!$Q$17:$Q$68)/LOOKUP($A13,Barèmes!$A$65:$A$148,Barèmes!$G$65:$G$148),IF(AND($A13&gt;=$B$5+$B$4,$A13&lt;=INT($B$8)-1+$B$4),LOOKUP($A13,Retraite!$A$7:$A$47,Retraite!N$7:$N$47)/LOOKUP($A13,Barèmes!$A$65:$A$148,Barèmes!$G$65:$G$148),IF($A13=INT($B$8+$B$4),(LOOKUP($A13,Retraite!$A$7:$A$47,Retraite!$N$7:$N$47)/LOOKUP($A13,Barèmes!$A$65:$A$148,Barèmes!$G$65:$G$148))*(1-(INT($B$8)+1-$B$8)),0)))</f>
        <v>0</v>
      </c>
      <c r="E13" s="131">
        <f>IF($A13&lt;$B$5+$B$4,-(LOOKUP($A13,Cot_droits!$A$17:$A$68,Cot_droits!$H$17:$H$68)+LOOKUP($A13,Cot_droits!$A$17:$A$68,Cot_droits!$L$17:$L$68))/LOOKUP($A13,Barèmes!$A$65:$A$148,Barèmes!$G$65:$G$148),IF(AND($A13&gt;=$B$5+$B$4,$A13&lt;=INT($B$8)-1+$B$4),LOOKUP($A13,Retraite!$A$7:$A$47,Retraite!$L$7:$L$47)/LOOKUP($A13,Barèmes!$A$65:$A$148,Barèmes!$G$65:$G$148),IF($A13=INT($B$8+$B$4),(LOOKUP($A13,Retraite!$A$7:$A$47,Retraite!$L$7:$L$47)/LOOKUP($A13,Barèmes!$A$65:$A$148,Barèmes!$G$65:$G$148))*(1-(INT($B$8)+1-$B$8)),0)))</f>
        <v>0</v>
      </c>
      <c r="F13" s="121">
        <f>IF($A13&lt;$B$5+$B$4,-(LOOKUP($A13,Cot_droits!$A$17:$A$68,Cot_droits!$H$17:$H$68)+LOOKUP($A13,Cot_droits!$A$17:$A$68,Cot_droits!$L$17:$L$68))/LOOKUP($A13,Barèmes!$A$65:$A$148,Barèmes!$G$65:$G$148),IF(AND($A13&gt;=$B$5+$B$4,$A13&lt;=INT($B$8)-1+$B$4),LOOKUP($A13,Retraite!$A$7:$A$47,Retraite!$P$7:P$47)/LOOKUP($A13,Barèmes!$A$65:$A$148,Barèmes!$G$65:$G$148),IF($A13=INT($B$8+$B$4),(LOOKUP($A13,Retraite!$A$7:$A$47,Retraite!$P$7:$P$47)/LOOKUP($A13,Barèmes!$A$65:$A$148,Barèmes!$G$65:$G$148))*(1-(INT($B$8)+1-$B$8)),0)))</f>
        <v>0</v>
      </c>
      <c r="H13" s="131">
        <f>IF($A13&lt;$B$5+$B$4,-(LOOKUP($A13,Cot_droits!$A$17:$A$68,Cot_droits!$I$17:$I$68)+LOOKUP($A13,Cot_droits!$A$17:$A$68,Cot_droits!$J$17:$J$68)+LOOKUP($A13,Cot_droits!$A$17:$A$68,Cot_droits!$N$17:$N$68))/LOOKUP($A13,Barèmes!$A$65:$A$148,Barèmes!$G$65:$G$148),IF(AND($A13&gt;=$B$5+$B$4,$A13&lt;=INT($B$8)-1+$B$4),LOOKUP($A13,Retraite!$A$7:$A$47,Retraite!$M$7:$M$47)/LOOKUP($A13,Barèmes!$A$65:$A$148,Barèmes!$G$65:$G$148),IF($A13=INT($B$8+$B$4),(LOOKUP($A13,Retraite!$A$7:$A$47,Retraite!$M$7:$M$47)/LOOKUP($A13,Barèmes!$A$65:$A$148,Barèmes!$G$65:$G$148))*(1-(INT($B$8)+1-$B$8)),0)))</f>
        <v>0</v>
      </c>
      <c r="I13" s="121">
        <f>IF($A13&lt;$B$5+$B$4,-(LOOKUP($A13,Cot_droits!$A$17:$A$68,Cot_droits!$I$17:$I$68)+LOOKUP($A13,Cot_droits!$A$17:$A$68,Cot_droits!$J$17:$J$68)+LOOKUP($A13,Cot_droits!$A$17:$A$68,Cot_droits!$N$17:$N$68))/LOOKUP($A13,Barèmes!$A$65:$A$148,Barèmes!$G$65:$G$148),IF(AND($A13&gt;=$B$5+$B$4,$A13&lt;=INT($B$8)-1+$B$4),LOOKUP($A13,Retraite!$A$7:$A$47,Retraite!$Q$7:Q$47)/LOOKUP($A13,Barèmes!$A$65:$A$148,Barèmes!$G$65:$G$148),IF($A13=INT($B$8+$B$4),(LOOKUP($A13,Retraite!$A$7:$A$47,Retraite!$Q$7:$Q$47)/LOOKUP($A13,Barèmes!$A$65:$A$148,Barèmes!$G$65:$G$148))*(1-(INT($B$8)+1-$B$8)),0)))</f>
        <v>0</v>
      </c>
    </row>
    <row r="14" spans="1:12" s="43" customFormat="1" ht="15.75" customHeight="1" x14ac:dyDescent="0.25">
      <c r="A14" s="125">
        <f>A13+1</f>
        <v>2019</v>
      </c>
      <c r="B14" s="131">
        <f>IF($A14&lt;$B$5+$B$4,-LOOKUP($A14,Cot_droits!$A$17:$A$68,Cot_droits!$Q$17:$Q$68)/LOOKUP($A14,Barèmes!$A$65:$A$148,Barèmes!$G$65:$G$148),IF(AND($A14&gt;=$B$5+$B$4,$A14&lt;=INT($B$8)+$B$4-1),LOOKUP($A14,Retraite!$A$7:$A$47,Retraite!$K$7:$K$47)/LOOKUP($A14,Barèmes!$A$65:$A$148,Barèmes!$G$65:$G$148),IF($A14=INT($B$8+$B$4),(LOOKUP($A14,Retraite!$A$7:$A$47,Retraite!$K$7:$K$47)/LOOKUP($A14,Barèmes!$A$65:$A$148,Barèmes!$G$65:$G$148))*(1-(INT($B$8+1)-$B$8)),0)))</f>
        <v>0</v>
      </c>
      <c r="C14" s="121">
        <f>IF($A14&lt;$B$5+$B$4,-LOOKUP($A14,Cot_droits!$A$17:$A$68,Cot_droits!$Q$17:$Q$68)/LOOKUP($A14,Barèmes!$A$65:$A$148,Barèmes!$G$65:$G$148),IF(AND($A14&gt;=$B$5+$B$4,$A14&lt;=INT($B$8)-1+$B$4),LOOKUP($A14,Retraite!$A$7:$A$47,Retraite!N$7:$N$47)/LOOKUP($A14,Barèmes!$A$65:$A$148,Barèmes!$G$65:$G$148),IF($A14=INT($B$8+$B$4),(LOOKUP($A14,Retraite!$A$7:$A$47,Retraite!$N$7:$N$47)/LOOKUP($A14,Barèmes!$A$65:$A$148,Barèmes!$G$65:$G$148))*(1-(INT($B$8)+1-$B$8)),0)))</f>
        <v>0</v>
      </c>
      <c r="E14" s="131">
        <f>IF($A14&lt;$B$5+$B$4,-(LOOKUP($A14,Cot_droits!$A$17:$A$68,Cot_droits!$H$17:$H$68)+LOOKUP($A14,Cot_droits!$A$17:$A$68,Cot_droits!$L$17:$L$68))/LOOKUP($A14,Barèmes!$A$65:$A$148,Barèmes!$G$65:$G$148),IF(AND($A14&gt;=$B$5+$B$4,$A14&lt;=INT($B$8)-1+$B$4),LOOKUP($A14,Retraite!$A$7:$A$47,Retraite!$L$7:$L$47)/LOOKUP($A14,Barèmes!$A$65:$A$148,Barèmes!$G$65:$G$148),IF($A14=INT($B$8+$B$4),(LOOKUP($A14,Retraite!$A$7:$A$47,Retraite!$L$7:$L$47)/LOOKUP($A14,Barèmes!$A$65:$A$148,Barèmes!$G$65:$G$148))*(1-(INT($B$8)+1-$B$8)),0)))</f>
        <v>0</v>
      </c>
      <c r="F14" s="121">
        <f>IF($A14&lt;$B$5+$B$4,-(LOOKUP($A14,Cot_droits!$A$17:$A$68,Cot_droits!$H$17:$H$68)+LOOKUP($A14,Cot_droits!$A$17:$A$68,Cot_droits!$L$17:$L$68))/LOOKUP($A14,Barèmes!$A$65:$A$148,Barèmes!$G$65:$G$148),IF(AND($A14&gt;=$B$5+$B$4,$A14&lt;=INT($B$8)-1+$B$4),LOOKUP($A14,Retraite!$A$7:$A$47,Retraite!$P$7:P$47)/LOOKUP($A14,Barèmes!$A$65:$A$148,Barèmes!$G$65:$G$148),IF($A14=INT($B$8+$B$4),(LOOKUP($A14,Retraite!$A$7:$A$47,Retraite!$P$7:$P$47)/LOOKUP($A14,Barèmes!$A$65:$A$148,Barèmes!$G$65:$G$148))*(1-(INT($B$8)+1-$B$8)),0)))</f>
        <v>0</v>
      </c>
      <c r="H14" s="131">
        <f>IF($A14&lt;$B$5+$B$4,-(LOOKUP($A14,Cot_droits!$A$17:$A$68,Cot_droits!$I$17:$I$68)+LOOKUP($A14,Cot_droits!$A$17:$A$68,Cot_droits!$J$17:$J$68)+LOOKUP($A14,Cot_droits!$A$17:$A$68,Cot_droits!$N$17:$N$68))/LOOKUP($A14,Barèmes!$A$65:$A$148,Barèmes!$G$65:$G$148),IF(AND($A14&gt;=$B$5+$B$4,$A14&lt;=INT($B$8)-1+$B$4),LOOKUP($A14,Retraite!$A$7:$A$47,Retraite!$M$7:$M$47)/LOOKUP($A14,Barèmes!$A$65:$A$148,Barèmes!$G$65:$G$148),IF($A14=INT($B$8+$B$4),(LOOKUP($A14,Retraite!$A$7:$A$47,Retraite!$M$7:$M$47)/LOOKUP($A14,Barèmes!$A$65:$A$148,Barèmes!$G$65:$G$148))*(1-(INT($B$8)+1-$B$8)),0)))</f>
        <v>0</v>
      </c>
      <c r="I14" s="121">
        <f>IF($A14&lt;$B$5+$B$4,-(LOOKUP($A14,Cot_droits!$A$17:$A$68,Cot_droits!$I$17:$I$68)+LOOKUP($A14,Cot_droits!$A$17:$A$68,Cot_droits!$J$17:$J$68)+LOOKUP($A14,Cot_droits!$A$17:$A$68,Cot_droits!$N$17:$N$68))/LOOKUP($A14,Barèmes!$A$65:$A$148,Barèmes!$G$65:$G$148),IF(AND($A14&gt;=$B$5+$B$4,$A14&lt;=INT($B$8)-1+$B$4),LOOKUP($A14,Retraite!$A$7:$A$47,Retraite!$Q$7:Q$47)/LOOKUP($A14,Barèmes!$A$65:$A$148,Barèmes!$G$65:$G$148),IF($A14=INT($B$8+$B$4),(LOOKUP($A14,Retraite!$A$7:$A$47,Retraite!$Q$7:$Q$47)/LOOKUP($A14,Barèmes!$A$65:$A$148,Barèmes!$G$65:$G$148))*(1-(INT($B$8)+1-$B$8)),0)))</f>
        <v>0</v>
      </c>
    </row>
    <row r="15" spans="1:12" s="43" customFormat="1" ht="15.75" customHeight="1" x14ac:dyDescent="0.25">
      <c r="A15" s="125">
        <f t="shared" ref="A15:A78" si="0">A14+1</f>
        <v>2020</v>
      </c>
      <c r="B15" s="131">
        <f>IF($A15&lt;$B$5+$B$4,-LOOKUP($A15,Cot_droits!$A$17:$A$68,Cot_droits!$Q$17:$Q$68)/LOOKUP($A15,Barèmes!$A$65:$A$148,Barèmes!$G$65:$G$148),IF(AND($A15&gt;=$B$5+$B$4,$A15&lt;=INT($B$8)+$B$4-1),LOOKUP($A15,Retraite!$A$7:$A$47,Retraite!$K$7:$K$47)/LOOKUP($A15,Barèmes!$A$65:$A$148,Barèmes!$G$65:$G$148),IF($A15=INT($B$8+$B$4),(LOOKUP($A15,Retraite!$A$7:$A$47,Retraite!$K$7:$K$47)/LOOKUP($A15,Barèmes!$A$65:$A$148,Barèmes!$G$65:$G$148))*(1-(INT($B$8+1)-$B$8)),0)))</f>
        <v>0</v>
      </c>
      <c r="C15" s="121">
        <f>IF($A15&lt;$B$5+$B$4,-LOOKUP($A15,Cot_droits!$A$17:$A$68,Cot_droits!$Q$17:$Q$68)/LOOKUP($A15,Barèmes!$A$65:$A$148,Barèmes!$G$65:$G$148),IF(AND($A15&gt;=$B$5+$B$4,$A15&lt;=INT($B$8)-1+$B$4),LOOKUP($A15,Retraite!$A$7:$A$47,Retraite!N$7:$N$47)/LOOKUP($A15,Barèmes!$A$65:$A$148,Barèmes!$G$65:$G$148),IF($A15=INT($B$8+$B$4),(LOOKUP($A15,Retraite!$A$7:$A$47,Retraite!$N$7:$N$47)/LOOKUP($A15,Barèmes!$A$65:$A$148,Barèmes!$G$65:$G$148))*(1-(INT($B$8)+1-$B$8)),0)))</f>
        <v>0</v>
      </c>
      <c r="E15" s="131">
        <f>IF($A15&lt;$B$5+$B$4,-(LOOKUP($A15,Cot_droits!$A$17:$A$68,Cot_droits!$H$17:$H$68)+LOOKUP($A15,Cot_droits!$A$17:$A$68,Cot_droits!$L$17:$L$68))/LOOKUP($A15,Barèmes!$A$65:$A$148,Barèmes!$G$65:$G$148),IF(AND($A15&gt;=$B$5+$B$4,$A15&lt;=INT($B$8)-1+$B$4),LOOKUP($A15,Retraite!$A$7:$A$47,Retraite!$L$7:$L$47)/LOOKUP($A15,Barèmes!$A$65:$A$148,Barèmes!$G$65:$G$148),IF($A15=INT($B$8+$B$4),(LOOKUP($A15,Retraite!$A$7:$A$47,Retraite!$L$7:$L$47)/LOOKUP($A15,Barèmes!$A$65:$A$148,Barèmes!$G$65:$G$148))*(1-(INT($B$8)+1-$B$8)),0)))</f>
        <v>0</v>
      </c>
      <c r="F15" s="121">
        <f>IF($A15&lt;$B$5+$B$4,-(LOOKUP($A15,Cot_droits!$A$17:$A$68,Cot_droits!$H$17:$H$68)+LOOKUP($A15,Cot_droits!$A$17:$A$68,Cot_droits!$L$17:$L$68))/LOOKUP($A15,Barèmes!$A$65:$A$148,Barèmes!$G$65:$G$148),IF(AND($A15&gt;=$B$5+$B$4,$A15&lt;=INT($B$8)-1+$B$4),LOOKUP($A15,Retraite!$A$7:$A$47,Retraite!$P$7:P$47)/LOOKUP($A15,Barèmes!$A$65:$A$148,Barèmes!$G$65:$G$148),IF($A15=INT($B$8+$B$4),(LOOKUP($A15,Retraite!$A$7:$A$47,Retraite!$P$7:$P$47)/LOOKUP($A15,Barèmes!$A$65:$A$148,Barèmes!$G$65:$G$148))*(1-(INT($B$8)+1-$B$8)),0)))</f>
        <v>0</v>
      </c>
      <c r="H15" s="131">
        <f>IF($A15&lt;$B$5+$B$4,-(LOOKUP($A15,Cot_droits!$A$17:$A$68,Cot_droits!$I$17:$I$68)+LOOKUP($A15,Cot_droits!$A$17:$A$68,Cot_droits!$J$17:$J$68)+LOOKUP($A15,Cot_droits!$A$17:$A$68,Cot_droits!$N$17:$N$68))/LOOKUP($A15,Barèmes!$A$65:$A$148,Barèmes!$G$65:$G$148),IF(AND($A15&gt;=$B$5+$B$4,$A15&lt;=INT($B$8)-1+$B$4),LOOKUP($A15,Retraite!$A$7:$A$47,Retraite!$M$7:$M$47)/LOOKUP($A15,Barèmes!$A$65:$A$148,Barèmes!$G$65:$G$148),IF($A15=INT($B$8+$B$4),(LOOKUP($A15,Retraite!$A$7:$A$47,Retraite!$M$7:$M$47)/LOOKUP($A15,Barèmes!$A$65:$A$148,Barèmes!$G$65:$G$148))*(1-(INT($B$8)+1-$B$8)),0)))</f>
        <v>0</v>
      </c>
      <c r="I15" s="121">
        <f>IF($A15&lt;$B$5+$B$4,-(LOOKUP($A15,Cot_droits!$A$17:$A$68,Cot_droits!$I$17:$I$68)+LOOKUP($A15,Cot_droits!$A$17:$A$68,Cot_droits!$J$17:$J$68)+LOOKUP($A15,Cot_droits!$A$17:$A$68,Cot_droits!$N$17:$N$68))/LOOKUP($A15,Barèmes!$A$65:$A$148,Barèmes!$G$65:$G$148),IF(AND($A15&gt;=$B$5+$B$4,$A15&lt;=INT($B$8)-1+$B$4),LOOKUP($A15,Retraite!$A$7:$A$47,Retraite!$Q$7:Q$47)/LOOKUP($A15,Barèmes!$A$65:$A$148,Barèmes!$G$65:$G$148),IF($A15=INT($B$8+$B$4),(LOOKUP($A15,Retraite!$A$7:$A$47,Retraite!$Q$7:$Q$47)/LOOKUP($A15,Barèmes!$A$65:$A$148,Barèmes!$G$65:$G$148))*(1-(INT($B$8)+1-$B$8)),0)))</f>
        <v>0</v>
      </c>
      <c r="J15" s="115"/>
      <c r="K15" s="115"/>
      <c r="L15" s="115"/>
    </row>
    <row r="16" spans="1:12" s="43" customFormat="1" ht="15.75" customHeight="1" x14ac:dyDescent="0.25">
      <c r="A16" s="125">
        <f t="shared" si="0"/>
        <v>2021</v>
      </c>
      <c r="B16" s="131">
        <f>IF($A16&lt;$B$5+$B$4,-LOOKUP($A16,Cot_droits!$A$17:$A$68,Cot_droits!$Q$17:$Q$68)/LOOKUP($A16,Barèmes!$A$65:$A$148,Barèmes!$G$65:$G$148),IF(AND($A16&gt;=$B$5+$B$4,$A16&lt;=INT($B$8)+$B$4-1),LOOKUP($A16,Retraite!$A$7:$A$47,Retraite!$K$7:$K$47)/LOOKUP($A16,Barèmes!$A$65:$A$148,Barèmes!$G$65:$G$148),IF($A16=INT($B$8+$B$4),(LOOKUP($A16,Retraite!$A$7:$A$47,Retraite!$K$7:$K$47)/LOOKUP($A16,Barèmes!$A$65:$A$148,Barèmes!$G$65:$G$148))*(1-(INT($B$8+1)-$B$8)),0)))</f>
        <v>-1577.9017592313899</v>
      </c>
      <c r="C16" s="121">
        <f>IF($A16&lt;$B$5+$B$4,-LOOKUP($A16,Cot_droits!$A$17:$A$68,Cot_droits!$Q$17:$Q$68)/LOOKUP($A16,Barèmes!$A$65:$A$148,Barèmes!$G$65:$G$148),IF(AND($A16&gt;=$B$5+$B$4,$A16&lt;=INT($B$8)-1+$B$4),LOOKUP($A16,Retraite!$A$7:$A$47,Retraite!N$7:$N$47)/LOOKUP($A16,Barèmes!$A$65:$A$148,Barèmes!$G$65:$G$148),IF($A16=INT($B$8+$B$4),(LOOKUP($A16,Retraite!$A$7:$A$47,Retraite!$N$7:$N$47)/LOOKUP($A16,Barèmes!$A$65:$A$148,Barèmes!$G$65:$G$148))*(1-(INT($B$8)+1-$B$8)),0)))</f>
        <v>-1577.9017592313899</v>
      </c>
      <c r="E16" s="131">
        <f>IF($A16&lt;$B$5+$B$4,-(LOOKUP($A16,Cot_droits!$A$17:$A$68,Cot_droits!$H$17:$H$68)+LOOKUP($A16,Cot_droits!$A$17:$A$68,Cot_droits!$L$17:$L$68))/LOOKUP($A16,Barèmes!$A$65:$A$148,Barèmes!$G$65:$G$148),IF(AND($A16&gt;=$B$5+$B$4,$A16&lt;=INT($B$8)-1+$B$4),LOOKUP($A16,Retraite!$A$7:$A$47,Retraite!$L$7:$L$47)/LOOKUP($A16,Barèmes!$A$65:$A$148,Barèmes!$G$65:$G$148),IF($A16=INT($B$8+$B$4),(LOOKUP($A16,Retraite!$A$7:$A$47,Retraite!$L$7:$L$47)/LOOKUP($A16,Barèmes!$A$65:$A$148,Barèmes!$G$65:$G$148))*(1-(INT($B$8)+1-$B$8)),0)))</f>
        <v>-1018.4872004659005</v>
      </c>
      <c r="F16" s="121">
        <f>IF($A16&lt;$B$5+$B$4,-(LOOKUP($A16,Cot_droits!$A$17:$A$68,Cot_droits!$H$17:$H$68)+LOOKUP($A16,Cot_droits!$A$17:$A$68,Cot_droits!$L$17:$L$68))/LOOKUP($A16,Barèmes!$A$65:$A$148,Barèmes!$G$65:$G$148),IF(AND($A16&gt;=$B$5+$B$4,$A16&lt;=INT($B$8)-1+$B$4),LOOKUP($A16,Retraite!$A$7:$A$47,Retraite!$P$7:P$47)/LOOKUP($A16,Barèmes!$A$65:$A$148,Barèmes!$G$65:$G$148),IF($A16=INT($B$8+$B$4),(LOOKUP($A16,Retraite!$A$7:$A$47,Retraite!$P$7:$P$47)/LOOKUP($A16,Barèmes!$A$65:$A$148,Barèmes!$G$65:$G$148))*(1-(INT($B$8)+1-$B$8)),0)))</f>
        <v>-1018.4872004659005</v>
      </c>
      <c r="H16" s="131">
        <f>IF($A16&lt;$B$5+$B$4,-(LOOKUP($A16,Cot_droits!$A$17:$A$68,Cot_droits!$I$17:$I$68)+LOOKUP($A16,Cot_droits!$A$17:$A$68,Cot_droits!$J$17:$J$68)+LOOKUP($A16,Cot_droits!$A$17:$A$68,Cot_droits!$N$17:$N$68))/LOOKUP($A16,Barèmes!$A$65:$A$148,Barèmes!$G$65:$G$148),IF(AND($A16&gt;=$B$5+$B$4,$A16&lt;=INT($B$8)-1+$B$4),LOOKUP($A16,Retraite!$A$7:$A$47,Retraite!$M$7:$M$47)/LOOKUP($A16,Barèmes!$A$65:$A$148,Barèmes!$G$65:$G$148),IF($A16=INT($B$8+$B$4),(LOOKUP($A16,Retraite!$A$7:$A$47,Retraite!$M$7:$M$47)/LOOKUP($A16,Barèmes!$A$65:$A$148,Barèmes!$G$65:$G$148))*(1-(INT($B$8)+1-$B$8)),0)))</f>
        <v>-559.41455876548946</v>
      </c>
      <c r="I16" s="121">
        <f>IF($A16&lt;$B$5+$B$4,-(LOOKUP($A16,Cot_droits!$A$17:$A$68,Cot_droits!$I$17:$I$68)+LOOKUP($A16,Cot_droits!$A$17:$A$68,Cot_droits!$J$17:$J$68)+LOOKUP($A16,Cot_droits!$A$17:$A$68,Cot_droits!$N$17:$N$68))/LOOKUP($A16,Barèmes!$A$65:$A$148,Barèmes!$G$65:$G$148),IF(AND($A16&gt;=$B$5+$B$4,$A16&lt;=INT($B$8)-1+$B$4),LOOKUP($A16,Retraite!$A$7:$A$47,Retraite!$Q$7:Q$47)/LOOKUP($A16,Barèmes!$A$65:$A$148,Barèmes!$G$65:$G$148),IF($A16=INT($B$8+$B$4),(LOOKUP($A16,Retraite!$A$7:$A$47,Retraite!$Q$7:$Q$47)/LOOKUP($A16,Barèmes!$A$65:$A$148,Barèmes!$G$65:$G$148))*(1-(INT($B$8)+1-$B$8)),0)))</f>
        <v>-559.41455876548946</v>
      </c>
      <c r="J16" s="115"/>
      <c r="K16" s="115"/>
      <c r="L16" s="115"/>
    </row>
    <row r="17" spans="1:12" s="43" customFormat="1" ht="15.75" customHeight="1" x14ac:dyDescent="0.25">
      <c r="A17" s="125">
        <f t="shared" si="0"/>
        <v>2022</v>
      </c>
      <c r="B17" s="131">
        <f>IF($A17&lt;$B$5+$B$4,-LOOKUP($A17,Cot_droits!$A$17:$A$68,Cot_droits!$Q$17:$Q$68)/LOOKUP($A17,Barèmes!$A$65:$A$148,Barèmes!$G$65:$G$148),IF(AND($A17&gt;=$B$5+$B$4,$A17&lt;=INT($B$8)+$B$4-1),LOOKUP($A17,Retraite!$A$7:$A$47,Retraite!$K$7:$K$47)/LOOKUP($A17,Barèmes!$A$65:$A$148,Barèmes!$G$65:$G$148),IF($A17=INT($B$8+$B$4),(LOOKUP($A17,Retraite!$A$7:$A$47,Retraite!$K$7:$K$47)/LOOKUP($A17,Barèmes!$A$65:$A$148,Barèmes!$G$65:$G$148))*(1-(INT($B$8+1)-$B$8)),0)))</f>
        <v>-1840.2087614394939</v>
      </c>
      <c r="C17" s="121">
        <f>IF($A17&lt;$B$5+$B$4,-LOOKUP($A17,Cot_droits!$A$17:$A$68,Cot_droits!$Q$17:$Q$68)/LOOKUP($A17,Barèmes!$A$65:$A$148,Barèmes!$G$65:$G$148),IF(AND($A17&gt;=$B$5+$B$4,$A17&lt;=INT($B$8)-1+$B$4),LOOKUP($A17,Retraite!$A$7:$A$47,Retraite!N$7:$N$47)/LOOKUP($A17,Barèmes!$A$65:$A$148,Barèmes!$G$65:$G$148),IF($A17=INT($B$8+$B$4),(LOOKUP($A17,Retraite!$A$7:$A$47,Retraite!$N$7:$N$47)/LOOKUP($A17,Barèmes!$A$65:$A$148,Barèmes!$G$65:$G$148))*(1-(INT($B$8)+1-$B$8)),0)))</f>
        <v>-1840.2087614394939</v>
      </c>
      <c r="E17" s="131">
        <f>IF($A17&lt;$B$5+$B$4,-(LOOKUP($A17,Cot_droits!$A$17:$A$68,Cot_droits!$H$17:$H$68)+LOOKUP($A17,Cot_droits!$A$17:$A$68,Cot_droits!$L$17:$L$68))/LOOKUP($A17,Barèmes!$A$65:$A$148,Barèmes!$G$65:$G$148),IF(AND($A17&gt;=$B$5+$B$4,$A17&lt;=INT($B$8)-1+$B$4),LOOKUP($A17,Retraite!$A$7:$A$47,Retraite!$L$7:$L$47)/LOOKUP($A17,Barèmes!$A$65:$A$148,Barèmes!$G$65:$G$148),IF($A17=INT($B$8+$B$4),(LOOKUP($A17,Retraite!$A$7:$A$47,Retraite!$L$7:$L$47)/LOOKUP($A17,Barèmes!$A$65:$A$148,Barèmes!$G$65:$G$148))*(1-(INT($B$8)+1-$B$8)),0)))</f>
        <v>-1187.798326953058</v>
      </c>
      <c r="F17" s="121">
        <f>IF($A17&lt;$B$5+$B$4,-(LOOKUP($A17,Cot_droits!$A$17:$A$68,Cot_droits!$H$17:$H$68)+LOOKUP($A17,Cot_droits!$A$17:$A$68,Cot_droits!$L$17:$L$68))/LOOKUP($A17,Barèmes!$A$65:$A$148,Barèmes!$G$65:$G$148),IF(AND($A17&gt;=$B$5+$B$4,$A17&lt;=INT($B$8)-1+$B$4),LOOKUP($A17,Retraite!$A$7:$A$47,Retraite!$P$7:P$47)/LOOKUP($A17,Barèmes!$A$65:$A$148,Barèmes!$G$65:$G$148),IF($A17=INT($B$8+$B$4),(LOOKUP($A17,Retraite!$A$7:$A$47,Retraite!$P$7:$P$47)/LOOKUP($A17,Barèmes!$A$65:$A$148,Barèmes!$G$65:$G$148))*(1-(INT($B$8)+1-$B$8)),0)))</f>
        <v>-1187.798326953058</v>
      </c>
      <c r="H17" s="131">
        <f>IF($A17&lt;$B$5+$B$4,-(LOOKUP($A17,Cot_droits!$A$17:$A$68,Cot_droits!$I$17:$I$68)+LOOKUP($A17,Cot_droits!$A$17:$A$68,Cot_droits!$J$17:$J$68)+LOOKUP($A17,Cot_droits!$A$17:$A$68,Cot_droits!$N$17:$N$68))/LOOKUP($A17,Barèmes!$A$65:$A$148,Barèmes!$G$65:$G$148),IF(AND($A17&gt;=$B$5+$B$4,$A17&lt;=INT($B$8)-1+$B$4),LOOKUP($A17,Retraite!$A$7:$A$47,Retraite!$M$7:$M$47)/LOOKUP($A17,Barèmes!$A$65:$A$148,Barèmes!$G$65:$G$148),IF($A17=INT($B$8+$B$4),(LOOKUP($A17,Retraite!$A$7:$A$47,Retraite!$M$7:$M$47)/LOOKUP($A17,Barèmes!$A$65:$A$148,Barèmes!$G$65:$G$148))*(1-(INT($B$8)+1-$B$8)),0)))</f>
        <v>-652.41043448643586</v>
      </c>
      <c r="I17" s="121">
        <f>IF($A17&lt;$B$5+$B$4,-(LOOKUP($A17,Cot_droits!$A$17:$A$68,Cot_droits!$I$17:$I$68)+LOOKUP($A17,Cot_droits!$A$17:$A$68,Cot_droits!$J$17:$J$68)+LOOKUP($A17,Cot_droits!$A$17:$A$68,Cot_droits!$N$17:$N$68))/LOOKUP($A17,Barèmes!$A$65:$A$148,Barèmes!$G$65:$G$148),IF(AND($A17&gt;=$B$5+$B$4,$A17&lt;=INT($B$8)-1+$B$4),LOOKUP($A17,Retraite!$A$7:$A$47,Retraite!$Q$7:Q$47)/LOOKUP($A17,Barèmes!$A$65:$A$148,Barèmes!$G$65:$G$148),IF($A17=INT($B$8+$B$4),(LOOKUP($A17,Retraite!$A$7:$A$47,Retraite!$Q$7:$Q$47)/LOOKUP($A17,Barèmes!$A$65:$A$148,Barèmes!$G$65:$G$148))*(1-(INT($B$8)+1-$B$8)),0)))</f>
        <v>-652.41043448643586</v>
      </c>
      <c r="J17" s="115"/>
      <c r="K17" s="115"/>
      <c r="L17" s="115"/>
    </row>
    <row r="18" spans="1:12" s="43" customFormat="1" ht="15.75" customHeight="1" x14ac:dyDescent="0.25">
      <c r="A18" s="125">
        <f t="shared" si="0"/>
        <v>2023</v>
      </c>
      <c r="B18" s="131">
        <f>IF($A18&lt;$B$5+$B$4,-LOOKUP($A18,Cot_droits!$A$17:$A$68,Cot_droits!$Q$17:$Q$68)/LOOKUP($A18,Barèmes!$A$65:$A$148,Barèmes!$G$65:$G$148),IF(AND($A18&gt;=$B$5+$B$4,$A18&lt;=INT($B$8)+$B$4-1),LOOKUP($A18,Retraite!$A$7:$A$47,Retraite!$K$7:$K$47)/LOOKUP($A18,Barèmes!$A$65:$A$148,Barèmes!$G$65:$G$148),IF($A18=INT($B$8+$B$4),(LOOKUP($A18,Retraite!$A$7:$A$47,Retraite!$K$7:$K$47)/LOOKUP($A18,Barèmes!$A$65:$A$148,Barèmes!$G$65:$G$148))*(1-(INT($B$8+1)-$B$8)),0)))</f>
        <v>-3502.6063043383915</v>
      </c>
      <c r="C18" s="121">
        <f>IF($A18&lt;$B$5+$B$4,-LOOKUP($A18,Cot_droits!$A$17:$A$68,Cot_droits!$Q$17:$Q$68)/LOOKUP($A18,Barèmes!$A$65:$A$148,Barèmes!$G$65:$G$148),IF(AND($A18&gt;=$B$5+$B$4,$A18&lt;=INT($B$8)-1+$B$4),LOOKUP($A18,Retraite!$A$7:$A$47,Retraite!N$7:$N$47)/LOOKUP($A18,Barèmes!$A$65:$A$148,Barèmes!$G$65:$G$148),IF($A18=INT($B$8+$B$4),(LOOKUP($A18,Retraite!$A$7:$A$47,Retraite!$N$7:$N$47)/LOOKUP($A18,Barèmes!$A$65:$A$148,Barèmes!$G$65:$G$148))*(1-(INT($B$8)+1-$B$8)),0)))</f>
        <v>-3502.6063043383915</v>
      </c>
      <c r="D18" s="115"/>
      <c r="E18" s="131">
        <f>IF($A18&lt;$B$5+$B$4,-(LOOKUP($A18,Cot_droits!$A$17:$A$68,Cot_droits!$H$17:$H$68)+LOOKUP($A18,Cot_droits!$A$17:$A$68,Cot_droits!$L$17:$L$68))/LOOKUP($A18,Barèmes!$A$65:$A$148,Barèmes!$G$65:$G$148),IF(AND($A18&gt;=$B$5+$B$4,$A18&lt;=INT($B$8)-1+$B$4),LOOKUP($A18,Retraite!$A$7:$A$47,Retraite!$L$7:$L$47)/LOOKUP($A18,Barèmes!$A$65:$A$148,Barèmes!$G$65:$G$148),IF($A18=INT($B$8+$B$4),(LOOKUP($A18,Retraite!$A$7:$A$47,Retraite!$L$7:$L$47)/LOOKUP($A18,Barèmes!$A$65:$A$148,Barèmes!$G$65:$G$148))*(1-(INT($B$8)+1-$B$8)),0)))</f>
        <v>-2247.5964419266343</v>
      </c>
      <c r="F18" s="121">
        <f>IF($A18&lt;$B$5+$B$4,-(LOOKUP($A18,Cot_droits!$A$17:$A$68,Cot_droits!$H$17:$H$68)+LOOKUP($A18,Cot_droits!$A$17:$A$68,Cot_droits!$L$17:$L$68))/LOOKUP($A18,Barèmes!$A$65:$A$148,Barèmes!$G$65:$G$148),IF(AND($A18&gt;=$B$5+$B$4,$A18&lt;=INT($B$8)-1+$B$4),LOOKUP($A18,Retraite!$A$7:$A$47,Retraite!$P$7:P$47)/LOOKUP($A18,Barèmes!$A$65:$A$148,Barèmes!$G$65:$G$148),IF($A18=INT($B$8+$B$4),(LOOKUP($A18,Retraite!$A$7:$A$47,Retraite!$P$7:$P$47)/LOOKUP($A18,Barèmes!$A$65:$A$148,Barèmes!$G$65:$G$148))*(1-(INT($B$8)+1-$B$8)),0)))</f>
        <v>-2247.5964419266343</v>
      </c>
      <c r="H18" s="131">
        <f>IF($A18&lt;$B$5+$B$4,-(LOOKUP($A18,Cot_droits!$A$17:$A$68,Cot_droits!$I$17:$I$68)+LOOKUP($A18,Cot_droits!$A$17:$A$68,Cot_droits!$J$17:$J$68)+LOOKUP($A18,Cot_droits!$A$17:$A$68,Cot_droits!$N$17:$N$68))/LOOKUP($A18,Barèmes!$A$65:$A$148,Barèmes!$G$65:$G$148),IF(AND($A18&gt;=$B$5+$B$4,$A18&lt;=INT($B$8)-1+$B$4),LOOKUP($A18,Retraite!$A$7:$A$47,Retraite!$M$7:$M$47)/LOOKUP($A18,Barèmes!$A$65:$A$148,Barèmes!$G$65:$G$148),IF($A18=INT($B$8+$B$4),(LOOKUP($A18,Retraite!$A$7:$A$47,Retraite!$M$7:$M$47)/LOOKUP($A18,Barèmes!$A$65:$A$148,Barèmes!$G$65:$G$148))*(1-(INT($B$8)+1-$B$8)),0)))</f>
        <v>-1255.0098624117572</v>
      </c>
      <c r="I18" s="121">
        <f>IF($A18&lt;$B$5+$B$4,-(LOOKUP($A18,Cot_droits!$A$17:$A$68,Cot_droits!$I$17:$I$68)+LOOKUP($A18,Cot_droits!$A$17:$A$68,Cot_droits!$J$17:$J$68)+LOOKUP($A18,Cot_droits!$A$17:$A$68,Cot_droits!$N$17:$N$68))/LOOKUP($A18,Barèmes!$A$65:$A$148,Barèmes!$G$65:$G$148),IF(AND($A18&gt;=$B$5+$B$4,$A18&lt;=INT($B$8)-1+$B$4),LOOKUP($A18,Retraite!$A$7:$A$47,Retraite!$Q$7:Q$47)/LOOKUP($A18,Barèmes!$A$65:$A$148,Barèmes!$G$65:$G$148),IF($A18=INT($B$8+$B$4),(LOOKUP($A18,Retraite!$A$7:$A$47,Retraite!$Q$7:$Q$47)/LOOKUP($A18,Barèmes!$A$65:$A$148,Barèmes!$G$65:$G$148))*(1-(INT($B$8)+1-$B$8)),0)))</f>
        <v>-1255.0098624117572</v>
      </c>
      <c r="J18" s="115"/>
      <c r="K18" s="115"/>
      <c r="L18" s="115"/>
    </row>
    <row r="19" spans="1:12" s="43" customFormat="1" ht="15.75" customHeight="1" x14ac:dyDescent="0.25">
      <c r="A19" s="125">
        <f t="shared" si="0"/>
        <v>2024</v>
      </c>
      <c r="B19" s="131">
        <f>IF($A19&lt;$B$5+$B$4,-LOOKUP($A19,Cot_droits!$A$17:$A$68,Cot_droits!$Q$17:$Q$68)/LOOKUP($A19,Barèmes!$A$65:$A$148,Barèmes!$G$65:$G$148),IF(AND($A19&gt;=$B$5+$B$4,$A19&lt;=INT($B$8)+$B$4-1),LOOKUP($A19,Retraite!$A$7:$A$47,Retraite!$K$7:$K$47)/LOOKUP($A19,Barèmes!$A$65:$A$148,Barèmes!$G$65:$G$148),IF($A19=INT($B$8+$B$4),(LOOKUP($A19,Retraite!$A$7:$A$47,Retraite!$K$7:$K$47)/LOOKUP($A19,Barèmes!$A$65:$A$148,Barèmes!$G$65:$G$148))*(1-(INT($B$8+1)-$B$8)),0)))</f>
        <v>-4349.4309826858444</v>
      </c>
      <c r="C19" s="121">
        <f>IF($A19&lt;$B$5+$B$4,-LOOKUP($A19,Cot_droits!$A$17:$A$68,Cot_droits!$Q$17:$Q$68)/LOOKUP($A19,Barèmes!$A$65:$A$148,Barèmes!$G$65:$G$148),IF(AND($A19&gt;=$B$5+$B$4,$A19&lt;=INT($B$8)-1+$B$4),LOOKUP($A19,Retraite!$A$7:$A$47,Retraite!N$7:$N$47)/LOOKUP($A19,Barèmes!$A$65:$A$148,Barèmes!$G$65:$G$148),IF($A19=INT($B$8+$B$4),(LOOKUP($A19,Retraite!$A$7:$A$47,Retraite!$N$7:$N$47)/LOOKUP($A19,Barèmes!$A$65:$A$148,Barèmes!$G$65:$G$148))*(1-(INT($B$8)+1-$B$8)),0)))</f>
        <v>-4349.4309826858444</v>
      </c>
      <c r="D19" s="115"/>
      <c r="E19" s="131">
        <f>IF($A19&lt;$B$5+$B$4,-(LOOKUP($A19,Cot_droits!$A$17:$A$68,Cot_droits!$H$17:$H$68)+LOOKUP($A19,Cot_droits!$A$17:$A$68,Cot_droits!$L$17:$L$68))/LOOKUP($A19,Barèmes!$A$65:$A$148,Barèmes!$G$65:$G$148),IF(AND($A19&gt;=$B$5+$B$4,$A19&lt;=INT($B$8)-1+$B$4),LOOKUP($A19,Retraite!$A$7:$A$47,Retraite!$L$7:$L$47)/LOOKUP($A19,Barèmes!$A$65:$A$148,Barèmes!$G$65:$G$148),IF($A19=INT($B$8+$B$4),(LOOKUP($A19,Retraite!$A$7:$A$47,Retraite!$L$7:$L$47)/LOOKUP($A19,Barèmes!$A$65:$A$148,Barèmes!$G$65:$G$148))*(1-(INT($B$8)+1-$B$8)),0)))</f>
        <v>-2786.747197500893</v>
      </c>
      <c r="F19" s="121">
        <f>IF($A19&lt;$B$5+$B$4,-(LOOKUP($A19,Cot_droits!$A$17:$A$68,Cot_droits!$H$17:$H$68)+LOOKUP($A19,Cot_droits!$A$17:$A$68,Cot_droits!$L$17:$L$68))/LOOKUP($A19,Barèmes!$A$65:$A$148,Barèmes!$G$65:$G$148),IF(AND($A19&gt;=$B$5+$B$4,$A19&lt;=INT($B$8)-1+$B$4),LOOKUP($A19,Retraite!$A$7:$A$47,Retraite!$P$7:P$47)/LOOKUP($A19,Barèmes!$A$65:$A$148,Barèmes!$G$65:$G$148),IF($A19=INT($B$8+$B$4),(LOOKUP($A19,Retraite!$A$7:$A$47,Retraite!$P$7:$P$47)/LOOKUP($A19,Barèmes!$A$65:$A$148,Barèmes!$G$65:$G$148))*(1-(INT($B$8)+1-$B$8)),0)))</f>
        <v>-2786.747197500893</v>
      </c>
      <c r="H19" s="131">
        <f>IF($A19&lt;$B$5+$B$4,-(LOOKUP($A19,Cot_droits!$A$17:$A$68,Cot_droits!$I$17:$I$68)+LOOKUP($A19,Cot_droits!$A$17:$A$68,Cot_droits!$J$17:$J$68)+LOOKUP($A19,Cot_droits!$A$17:$A$68,Cot_droits!$N$17:$N$68))/LOOKUP($A19,Barèmes!$A$65:$A$148,Barèmes!$G$65:$G$148),IF(AND($A19&gt;=$B$5+$B$4,$A19&lt;=INT($B$8)-1+$B$4),LOOKUP($A19,Retraite!$A$7:$A$47,Retraite!$M$7:$M$47)/LOOKUP($A19,Barèmes!$A$65:$A$148,Barèmes!$G$65:$G$148),IF($A19=INT($B$8+$B$4),(LOOKUP($A19,Retraite!$A$7:$A$47,Retraite!$M$7:$M$47)/LOOKUP($A19,Barèmes!$A$65:$A$148,Barèmes!$G$65:$G$148))*(1-(INT($B$8)+1-$B$8)),0)))</f>
        <v>-1562.6837851849514</v>
      </c>
      <c r="I19" s="121">
        <f>IF($A19&lt;$B$5+$B$4,-(LOOKUP($A19,Cot_droits!$A$17:$A$68,Cot_droits!$I$17:$I$68)+LOOKUP($A19,Cot_droits!$A$17:$A$68,Cot_droits!$J$17:$J$68)+LOOKUP($A19,Cot_droits!$A$17:$A$68,Cot_droits!$N$17:$N$68))/LOOKUP($A19,Barèmes!$A$65:$A$148,Barèmes!$G$65:$G$148),IF(AND($A19&gt;=$B$5+$B$4,$A19&lt;=INT($B$8)-1+$B$4),LOOKUP($A19,Retraite!$A$7:$A$47,Retraite!$Q$7:Q$47)/LOOKUP($A19,Barèmes!$A$65:$A$148,Barèmes!$G$65:$G$148),IF($A19=INT($B$8+$B$4),(LOOKUP($A19,Retraite!$A$7:$A$47,Retraite!$Q$7:$Q$47)/LOOKUP($A19,Barèmes!$A$65:$A$148,Barèmes!$G$65:$G$148))*(1-(INT($B$8)+1-$B$8)),0)))</f>
        <v>-1562.6837851849514</v>
      </c>
      <c r="J19" s="115"/>
      <c r="K19" s="115"/>
      <c r="L19" s="115"/>
    </row>
    <row r="20" spans="1:12" s="43" customFormat="1" ht="15.75" customHeight="1" x14ac:dyDescent="0.25">
      <c r="A20" s="125">
        <f t="shared" si="0"/>
        <v>2025</v>
      </c>
      <c r="B20" s="131">
        <f>IF($A20&lt;$B$5+$B$4,-LOOKUP($A20,Cot_droits!$A$17:$A$68,Cot_droits!$Q$17:$Q$68)/LOOKUP($A20,Barèmes!$A$65:$A$148,Barèmes!$G$65:$G$148),IF(AND($A20&gt;=$B$5+$B$4,$A20&lt;=INT($B$8)+$B$4-1),LOOKUP($A20,Retraite!$A$7:$A$47,Retraite!$K$7:$K$47)/LOOKUP($A20,Barèmes!$A$65:$A$148,Barèmes!$G$65:$G$148),IF($A20=INT($B$8+$B$4),(LOOKUP($A20,Retraite!$A$7:$A$47,Retraite!$K$7:$K$47)/LOOKUP($A20,Barèmes!$A$65:$A$148,Barèmes!$G$65:$G$148))*(1-(INT($B$8+1)-$B$8)),0)))</f>
        <v>-4990.4163584968746</v>
      </c>
      <c r="C20" s="121">
        <f>IF($A20&lt;$B$5+$B$4,-LOOKUP($A20,Cot_droits!$A$17:$A$68,Cot_droits!$Q$17:$Q$68)/LOOKUP($A20,Barèmes!$A$65:$A$148,Barèmes!$G$65:$G$148),IF(AND($A20&gt;=$B$5+$B$4,$A20&lt;=INT($B$8)-1+$B$4),LOOKUP($A20,Retraite!$A$7:$A$47,Retraite!N$7:$N$47)/LOOKUP($A20,Barèmes!$A$65:$A$148,Barèmes!$G$65:$G$148),IF($A20=INT($B$8+$B$4),(LOOKUP($A20,Retraite!$A$7:$A$47,Retraite!$N$7:$N$47)/LOOKUP($A20,Barèmes!$A$65:$A$148,Barèmes!$G$65:$G$148))*(1-(INT($B$8)+1-$B$8)),0)))</f>
        <v>-4990.4163584968746</v>
      </c>
      <c r="D20" s="115"/>
      <c r="E20" s="131">
        <f>IF($A20&lt;$B$5+$B$4,-(LOOKUP($A20,Cot_droits!$A$17:$A$68,Cot_droits!$H$17:$H$68)+LOOKUP($A20,Cot_droits!$A$17:$A$68,Cot_droits!$L$17:$L$68))/LOOKUP($A20,Barèmes!$A$65:$A$148,Barèmes!$G$65:$G$148),IF(AND($A20&gt;=$B$5+$B$4,$A20&lt;=INT($B$8)-1+$B$4),LOOKUP($A20,Retraite!$A$7:$A$47,Retraite!$L$7:$L$47)/LOOKUP($A20,Barèmes!$A$65:$A$148,Barèmes!$G$65:$G$148),IF($A20=INT($B$8+$B$4),(LOOKUP($A20,Retraite!$A$7:$A$47,Retraite!$L$7:$L$47)/LOOKUP($A20,Barèmes!$A$65:$A$148,Barèmes!$G$65:$G$148))*(1-(INT($B$8)+1-$B$8)),0)))</f>
        <v>-3194.839928460709</v>
      </c>
      <c r="F20" s="121">
        <f>IF($A20&lt;$B$5+$B$4,-(LOOKUP($A20,Cot_droits!$A$17:$A$68,Cot_droits!$H$17:$H$68)+LOOKUP($A20,Cot_droits!$A$17:$A$68,Cot_droits!$L$17:$L$68))/LOOKUP($A20,Barèmes!$A$65:$A$148,Barèmes!$G$65:$G$148),IF(AND($A20&gt;=$B$5+$B$4,$A20&lt;=INT($B$8)-1+$B$4),LOOKUP($A20,Retraite!$A$7:$A$47,Retraite!$P$7:P$47)/LOOKUP($A20,Barèmes!$A$65:$A$148,Barèmes!$G$65:$G$148),IF($A20=INT($B$8+$B$4),(LOOKUP($A20,Retraite!$A$7:$A$47,Retraite!$P$7:$P$47)/LOOKUP($A20,Barèmes!$A$65:$A$148,Barèmes!$G$65:$G$148))*(1-(INT($B$8)+1-$B$8)),0)))</f>
        <v>-3194.839928460709</v>
      </c>
      <c r="H20" s="131">
        <f>IF($A20&lt;$B$5+$B$4,-(LOOKUP($A20,Cot_droits!$A$17:$A$68,Cot_droits!$I$17:$I$68)+LOOKUP($A20,Cot_droits!$A$17:$A$68,Cot_droits!$J$17:$J$68)+LOOKUP($A20,Cot_droits!$A$17:$A$68,Cot_droits!$N$17:$N$68))/LOOKUP($A20,Barèmes!$A$65:$A$148,Barèmes!$G$65:$G$148),IF(AND($A20&gt;=$B$5+$B$4,$A20&lt;=INT($B$8)-1+$B$4),LOOKUP($A20,Retraite!$A$7:$A$47,Retraite!$M$7:$M$47)/LOOKUP($A20,Barèmes!$A$65:$A$148,Barèmes!$G$65:$G$148),IF($A20=INT($B$8+$B$4),(LOOKUP($A20,Retraite!$A$7:$A$47,Retraite!$M$7:$M$47)/LOOKUP($A20,Barèmes!$A$65:$A$148,Barèmes!$G$65:$G$148))*(1-(INT($B$8)+1-$B$8)),0)))</f>
        <v>-1795.5764300361654</v>
      </c>
      <c r="I20" s="121">
        <f>IF($A20&lt;$B$5+$B$4,-(LOOKUP($A20,Cot_droits!$A$17:$A$68,Cot_droits!$I$17:$I$68)+LOOKUP($A20,Cot_droits!$A$17:$A$68,Cot_droits!$J$17:$J$68)+LOOKUP($A20,Cot_droits!$A$17:$A$68,Cot_droits!$N$17:$N$68))/LOOKUP($A20,Barèmes!$A$65:$A$148,Barèmes!$G$65:$G$148),IF(AND($A20&gt;=$B$5+$B$4,$A20&lt;=INT($B$8)-1+$B$4),LOOKUP($A20,Retraite!$A$7:$A$47,Retraite!$Q$7:Q$47)/LOOKUP($A20,Barèmes!$A$65:$A$148,Barèmes!$G$65:$G$148),IF($A20=INT($B$8+$B$4),(LOOKUP($A20,Retraite!$A$7:$A$47,Retraite!$Q$7:$Q$47)/LOOKUP($A20,Barèmes!$A$65:$A$148,Barèmes!$G$65:$G$148))*(1-(INT($B$8)+1-$B$8)),0)))</f>
        <v>-1795.5764300361654</v>
      </c>
      <c r="J20" s="115"/>
      <c r="K20" s="115"/>
      <c r="L20" s="115"/>
    </row>
    <row r="21" spans="1:12" s="43" customFormat="1" ht="15.75" customHeight="1" x14ac:dyDescent="0.25">
      <c r="A21" s="125">
        <f t="shared" si="0"/>
        <v>2026</v>
      </c>
      <c r="B21" s="131">
        <f>IF($A21&lt;$B$5+$B$4,-LOOKUP($A21,Cot_droits!$A$17:$A$68,Cot_droits!$Q$17:$Q$68)/LOOKUP($A21,Barèmes!$A$65:$A$148,Barèmes!$G$65:$G$148),IF(AND($A21&gt;=$B$5+$B$4,$A21&lt;=INT($B$8)+$B$4-1),LOOKUP($A21,Retraite!$A$7:$A$47,Retraite!$K$7:$K$47)/LOOKUP($A21,Barèmes!$A$65:$A$148,Barèmes!$G$65:$G$148),IF($A21=INT($B$8+$B$4),(LOOKUP($A21,Retraite!$A$7:$A$47,Retraite!$K$7:$K$47)/LOOKUP($A21,Barèmes!$A$65:$A$148,Barèmes!$G$65:$G$148))*(1-(INT($B$8+1)-$B$8)),0)))</f>
        <v>-5850.9798615345389</v>
      </c>
      <c r="C21" s="121">
        <f>IF($A21&lt;$B$5+$B$4,-LOOKUP($A21,Cot_droits!$A$17:$A$68,Cot_droits!$Q$17:$Q$68)/LOOKUP($A21,Barèmes!$A$65:$A$148,Barèmes!$G$65:$G$148),IF(AND($A21&gt;=$B$5+$B$4,$A21&lt;=INT($B$8)-1+$B$4),LOOKUP($A21,Retraite!$A$7:$A$47,Retraite!N$7:$N$47)/LOOKUP($A21,Barèmes!$A$65:$A$148,Barèmes!$G$65:$G$148),IF($A21=INT($B$8+$B$4),(LOOKUP($A21,Retraite!$A$7:$A$47,Retraite!$N$7:$N$47)/LOOKUP($A21,Barèmes!$A$65:$A$148,Barèmes!$G$65:$G$148))*(1-(INT($B$8)+1-$B$8)),0)))</f>
        <v>-5850.9798615345389</v>
      </c>
      <c r="D21" s="115"/>
      <c r="E21" s="131">
        <f>IF($A21&lt;$B$5+$B$4,-(LOOKUP($A21,Cot_droits!$A$17:$A$68,Cot_droits!$H$17:$H$68)+LOOKUP($A21,Cot_droits!$A$17:$A$68,Cot_droits!$L$17:$L$68))/LOOKUP($A21,Barèmes!$A$65:$A$148,Barèmes!$G$65:$G$148),IF(AND($A21&gt;=$B$5+$B$4,$A21&lt;=INT($B$8)-1+$B$4),LOOKUP($A21,Retraite!$A$7:$A$47,Retraite!$L$7:$L$47)/LOOKUP($A21,Barèmes!$A$65:$A$148,Barèmes!$G$65:$G$148),IF($A21=INT($B$8+$B$4),(LOOKUP($A21,Retraite!$A$7:$A$47,Retraite!$L$7:$L$47)/LOOKUP($A21,Barèmes!$A$65:$A$148,Barèmes!$G$65:$G$148))*(1-(INT($B$8)+1-$B$8)),0)))</f>
        <v>-3742.8200174792346</v>
      </c>
      <c r="F21" s="121">
        <f>IF($A21&lt;$B$5+$B$4,-(LOOKUP($A21,Cot_droits!$A$17:$A$68,Cot_droits!$H$17:$H$68)+LOOKUP($A21,Cot_droits!$A$17:$A$68,Cot_droits!$L$17:$L$68))/LOOKUP($A21,Barèmes!$A$65:$A$148,Barèmes!$G$65:$G$148),IF(AND($A21&gt;=$B$5+$B$4,$A21&lt;=INT($B$8)-1+$B$4),LOOKUP($A21,Retraite!$A$7:$A$47,Retraite!$P$7:P$47)/LOOKUP($A21,Barèmes!$A$65:$A$148,Barèmes!$G$65:$G$148),IF($A21=INT($B$8+$B$4),(LOOKUP($A21,Retraite!$A$7:$A$47,Retraite!$P$7:$P$47)/LOOKUP($A21,Barèmes!$A$65:$A$148,Barèmes!$G$65:$G$148))*(1-(INT($B$8)+1-$B$8)),0)))</f>
        <v>-3742.8200174792346</v>
      </c>
      <c r="H21" s="131">
        <f>IF($A21&lt;$B$5+$B$4,-(LOOKUP($A21,Cot_droits!$A$17:$A$68,Cot_droits!$I$17:$I$68)+LOOKUP($A21,Cot_droits!$A$17:$A$68,Cot_droits!$J$17:$J$68)+LOOKUP($A21,Cot_droits!$A$17:$A$68,Cot_droits!$N$17:$N$68))/LOOKUP($A21,Barèmes!$A$65:$A$148,Barèmes!$G$65:$G$148),IF(AND($A21&gt;=$B$5+$B$4,$A21&lt;=INT($B$8)-1+$B$4),LOOKUP($A21,Retraite!$A$7:$A$47,Retraite!$M$7:$M$47)/LOOKUP($A21,Barèmes!$A$65:$A$148,Barèmes!$G$65:$G$148),IF($A21=INT($B$8+$B$4),(LOOKUP($A21,Retraite!$A$7:$A$47,Retraite!$M$7:$M$47)/LOOKUP($A21,Barèmes!$A$65:$A$148,Barèmes!$G$65:$G$148))*(1-(INT($B$8)+1-$B$8)),0)))</f>
        <v>-2108.1598440553043</v>
      </c>
      <c r="I21" s="121">
        <f>IF($A21&lt;$B$5+$B$4,-(LOOKUP($A21,Cot_droits!$A$17:$A$68,Cot_droits!$I$17:$I$68)+LOOKUP($A21,Cot_droits!$A$17:$A$68,Cot_droits!$J$17:$J$68)+LOOKUP($A21,Cot_droits!$A$17:$A$68,Cot_droits!$N$17:$N$68))/LOOKUP($A21,Barèmes!$A$65:$A$148,Barèmes!$G$65:$G$148),IF(AND($A21&gt;=$B$5+$B$4,$A21&lt;=INT($B$8)-1+$B$4),LOOKUP($A21,Retraite!$A$7:$A$47,Retraite!$Q$7:Q$47)/LOOKUP($A21,Barèmes!$A$65:$A$148,Barèmes!$G$65:$G$148),IF($A21=INT($B$8+$B$4),(LOOKUP($A21,Retraite!$A$7:$A$47,Retraite!$Q$7:$Q$47)/LOOKUP($A21,Barèmes!$A$65:$A$148,Barèmes!$G$65:$G$148))*(1-(INT($B$8)+1-$B$8)),0)))</f>
        <v>-2108.1598440553043</v>
      </c>
      <c r="J21" s="115"/>
      <c r="K21" s="115"/>
      <c r="L21" s="115"/>
    </row>
    <row r="22" spans="1:12" s="43" customFormat="1" ht="15.75" customHeight="1" x14ac:dyDescent="0.25">
      <c r="A22" s="125">
        <f t="shared" si="0"/>
        <v>2027</v>
      </c>
      <c r="B22" s="131">
        <f>IF($A22&lt;$B$5+$B$4,-LOOKUP($A22,Cot_droits!$A$17:$A$68,Cot_droits!$Q$17:$Q$68)/LOOKUP($A22,Barèmes!$A$65:$A$148,Barèmes!$G$65:$G$148),IF(AND($A22&gt;=$B$5+$B$4,$A22&lt;=INT($B$8)+$B$4-1),LOOKUP($A22,Retraite!$A$7:$A$47,Retraite!$K$7:$K$47)/LOOKUP($A22,Barèmes!$A$65:$A$148,Barèmes!$G$65:$G$148),IF($A22=INT($B$8+$B$4),(LOOKUP($A22,Retraite!$A$7:$A$47,Retraite!$K$7:$K$47)/LOOKUP($A22,Barèmes!$A$65:$A$148,Barèmes!$G$65:$G$148))*(1-(INT($B$8+1)-$B$8)),0)))</f>
        <v>-6451.3524417228127</v>
      </c>
      <c r="C22" s="121">
        <f>IF($A22&lt;$B$5+$B$4,-LOOKUP($A22,Cot_droits!$A$17:$A$68,Cot_droits!$Q$17:$Q$68)/LOOKUP($A22,Barèmes!$A$65:$A$148,Barèmes!$G$65:$G$148),IF(AND($A22&gt;=$B$5+$B$4,$A22&lt;=INT($B$8)-1+$B$4),LOOKUP($A22,Retraite!$A$7:$A$47,Retraite!N$7:$N$47)/LOOKUP($A22,Barèmes!$A$65:$A$148,Barèmes!$G$65:$G$148),IF($A22=INT($B$8+$B$4),(LOOKUP($A22,Retraite!$A$7:$A$47,Retraite!$N$7:$N$47)/LOOKUP($A22,Barèmes!$A$65:$A$148,Barèmes!$G$65:$G$148))*(1-(INT($B$8)+1-$B$8)),0)))</f>
        <v>-6451.3524417228127</v>
      </c>
      <c r="D22" s="115"/>
      <c r="E22" s="131">
        <f>IF($A22&lt;$B$5+$B$4,-(LOOKUP($A22,Cot_droits!$A$17:$A$68,Cot_droits!$H$17:$H$68)+LOOKUP($A22,Cot_droits!$A$17:$A$68,Cot_droits!$L$17:$L$68))/LOOKUP($A22,Barèmes!$A$65:$A$148,Barèmes!$G$65:$G$148),IF(AND($A22&gt;=$B$5+$B$4,$A22&lt;=INT($B$8)-1+$B$4),LOOKUP($A22,Retraite!$A$7:$A$47,Retraite!$L$7:$L$47)/LOOKUP($A22,Barèmes!$A$65:$A$148,Barèmes!$G$65:$G$148),IF($A22=INT($B$8+$B$4),(LOOKUP($A22,Retraite!$A$7:$A$47,Retraite!$L$7:$L$47)/LOOKUP($A22,Barèmes!$A$65:$A$148,Barèmes!$G$65:$G$148))*(1-(INT($B$8)+1-$B$8)),0)))</f>
        <v>-4125.1018652172288</v>
      </c>
      <c r="F22" s="121">
        <f>IF($A22&lt;$B$5+$B$4,-(LOOKUP($A22,Cot_droits!$A$17:$A$68,Cot_droits!$H$17:$H$68)+LOOKUP($A22,Cot_droits!$A$17:$A$68,Cot_droits!$L$17:$L$68))/LOOKUP($A22,Barèmes!$A$65:$A$148,Barèmes!$G$65:$G$148),IF(AND($A22&gt;=$B$5+$B$4,$A22&lt;=INT($B$8)-1+$B$4),LOOKUP($A22,Retraite!$A$7:$A$47,Retraite!$P$7:P$47)/LOOKUP($A22,Barèmes!$A$65:$A$148,Barèmes!$G$65:$G$148),IF($A22=INT($B$8+$B$4),(LOOKUP($A22,Retraite!$A$7:$A$47,Retraite!$P$7:$P$47)/LOOKUP($A22,Barèmes!$A$65:$A$148,Barèmes!$G$65:$G$148))*(1-(INT($B$8)+1-$B$8)),0)))</f>
        <v>-4125.1018652172288</v>
      </c>
      <c r="H22" s="131">
        <f>IF($A22&lt;$B$5+$B$4,-(LOOKUP($A22,Cot_droits!$A$17:$A$68,Cot_droits!$I$17:$I$68)+LOOKUP($A22,Cot_droits!$A$17:$A$68,Cot_droits!$J$17:$J$68)+LOOKUP($A22,Cot_droits!$A$17:$A$68,Cot_droits!$N$17:$N$68))/LOOKUP($A22,Barèmes!$A$65:$A$148,Barèmes!$G$65:$G$148),IF(AND($A22&gt;=$B$5+$B$4,$A22&lt;=INT($B$8)-1+$B$4),LOOKUP($A22,Retraite!$A$7:$A$47,Retraite!$M$7:$M$47)/LOOKUP($A22,Barèmes!$A$65:$A$148,Barèmes!$G$65:$G$148),IF($A22=INT($B$8+$B$4),(LOOKUP($A22,Retraite!$A$7:$A$47,Retraite!$M$7:$M$47)/LOOKUP($A22,Barèmes!$A$65:$A$148,Barèmes!$G$65:$G$148))*(1-(INT($B$8)+1-$B$8)),0)))</f>
        <v>-2326.2505765055848</v>
      </c>
      <c r="I22" s="121">
        <f>IF($A22&lt;$B$5+$B$4,-(LOOKUP($A22,Cot_droits!$A$17:$A$68,Cot_droits!$I$17:$I$68)+LOOKUP($A22,Cot_droits!$A$17:$A$68,Cot_droits!$J$17:$J$68)+LOOKUP($A22,Cot_droits!$A$17:$A$68,Cot_droits!$N$17:$N$68))/LOOKUP($A22,Barèmes!$A$65:$A$148,Barèmes!$G$65:$G$148),IF(AND($A22&gt;=$B$5+$B$4,$A22&lt;=INT($B$8)-1+$B$4),LOOKUP($A22,Retraite!$A$7:$A$47,Retraite!$Q$7:Q$47)/LOOKUP($A22,Barèmes!$A$65:$A$148,Barèmes!$G$65:$G$148),IF($A22=INT($B$8+$B$4),(LOOKUP($A22,Retraite!$A$7:$A$47,Retraite!$Q$7:$Q$47)/LOOKUP($A22,Barèmes!$A$65:$A$148,Barèmes!$G$65:$G$148))*(1-(INT($B$8)+1-$B$8)),0)))</f>
        <v>-2326.2505765055848</v>
      </c>
      <c r="J22" s="115"/>
      <c r="K22" s="115"/>
      <c r="L22" s="115"/>
    </row>
    <row r="23" spans="1:12" s="43" customFormat="1" ht="15.75" customHeight="1" x14ac:dyDescent="0.25">
      <c r="A23" s="125">
        <f t="shared" si="0"/>
        <v>2028</v>
      </c>
      <c r="B23" s="131">
        <f>IF($A23&lt;$B$5+$B$4,-LOOKUP($A23,Cot_droits!$A$17:$A$68,Cot_droits!$Q$17:$Q$68)/LOOKUP($A23,Barèmes!$A$65:$A$148,Barèmes!$G$65:$G$148),IF(AND($A23&gt;=$B$5+$B$4,$A23&lt;=INT($B$8)+$B$4-1),LOOKUP($A23,Retraite!$A$7:$A$47,Retraite!$K$7:$K$47)/LOOKUP($A23,Barèmes!$A$65:$A$148,Barèmes!$G$65:$G$148),IF($A23=INT($B$8+$B$4),(LOOKUP($A23,Retraite!$A$7:$A$47,Retraite!$K$7:$K$47)/LOOKUP($A23,Barèmes!$A$65:$A$148,Barèmes!$G$65:$G$148))*(1-(INT($B$8+1)-$B$8)),0)))</f>
        <v>-6931.5718426564354</v>
      </c>
      <c r="C23" s="121">
        <f>IF($A23&lt;$B$5+$B$4,-LOOKUP($A23,Cot_droits!$A$17:$A$68,Cot_droits!$Q$17:$Q$68)/LOOKUP($A23,Barèmes!$A$65:$A$148,Barèmes!$G$65:$G$148),IF(AND($A23&gt;=$B$5+$B$4,$A23&lt;=INT($B$8)-1+$B$4),LOOKUP($A23,Retraite!$A$7:$A$47,Retraite!N$7:$N$47)/LOOKUP($A23,Barèmes!$A$65:$A$148,Barèmes!$G$65:$G$148),IF($A23=INT($B$8+$B$4),(LOOKUP($A23,Retraite!$A$7:$A$47,Retraite!$N$7:$N$47)/LOOKUP($A23,Barèmes!$A$65:$A$148,Barèmes!$G$65:$G$148))*(1-(INT($B$8)+1-$B$8)),0)))</f>
        <v>-6931.5718426564354</v>
      </c>
      <c r="D23" s="115"/>
      <c r="E23" s="131">
        <f>IF($A23&lt;$B$5+$B$4,-(LOOKUP($A23,Cot_droits!$A$17:$A$68,Cot_droits!$H$17:$H$68)+LOOKUP($A23,Cot_droits!$A$17:$A$68,Cot_droits!$L$17:$L$68))/LOOKUP($A23,Barèmes!$A$65:$A$148,Barèmes!$G$65:$G$148),IF(AND($A23&gt;=$B$5+$B$4,$A23&lt;=INT($B$8)-1+$B$4),LOOKUP($A23,Retraite!$A$7:$A$47,Retraite!$L$7:$L$47)/LOOKUP($A23,Barèmes!$A$65:$A$148,Barèmes!$G$65:$G$148),IF($A23=INT($B$8+$B$4),(LOOKUP($A23,Retraite!$A$7:$A$47,Retraite!$L$7:$L$47)/LOOKUP($A23,Barèmes!$A$65:$A$148,Barèmes!$G$65:$G$148))*(1-(INT($B$8)+1-$B$8)),0)))</f>
        <v>-4430.8810537070603</v>
      </c>
      <c r="F23" s="121">
        <f>IF($A23&lt;$B$5+$B$4,-(LOOKUP($A23,Cot_droits!$A$17:$A$68,Cot_droits!$H$17:$H$68)+LOOKUP($A23,Cot_droits!$A$17:$A$68,Cot_droits!$L$17:$L$68))/LOOKUP($A23,Barèmes!$A$65:$A$148,Barèmes!$G$65:$G$148),IF(AND($A23&gt;=$B$5+$B$4,$A23&lt;=INT($B$8)-1+$B$4),LOOKUP($A23,Retraite!$A$7:$A$47,Retraite!$P$7:P$47)/LOOKUP($A23,Barèmes!$A$65:$A$148,Barèmes!$G$65:$G$148),IF($A23=INT($B$8+$B$4),(LOOKUP($A23,Retraite!$A$7:$A$47,Retraite!$P$7:$P$47)/LOOKUP($A23,Barèmes!$A$65:$A$148,Barèmes!$G$65:$G$148))*(1-(INT($B$8)+1-$B$8)),0)))</f>
        <v>-4430.8810537070603</v>
      </c>
      <c r="H23" s="131">
        <f>IF($A23&lt;$B$5+$B$4,-(LOOKUP($A23,Cot_droits!$A$17:$A$68,Cot_droits!$I$17:$I$68)+LOOKUP($A23,Cot_droits!$A$17:$A$68,Cot_droits!$J$17:$J$68)+LOOKUP($A23,Cot_droits!$A$17:$A$68,Cot_droits!$N$17:$N$68))/LOOKUP($A23,Barèmes!$A$65:$A$148,Barèmes!$G$65:$G$148),IF(AND($A23&gt;=$B$5+$B$4,$A23&lt;=INT($B$8)-1+$B$4),LOOKUP($A23,Retraite!$A$7:$A$47,Retraite!$M$7:$M$47)/LOOKUP($A23,Barèmes!$A$65:$A$148,Barèmes!$G$65:$G$148),IF($A23=INT($B$8+$B$4),(LOOKUP($A23,Retraite!$A$7:$A$47,Retraite!$M$7:$M$47)/LOOKUP($A23,Barèmes!$A$65:$A$148,Barèmes!$G$65:$G$148))*(1-(INT($B$8)+1-$B$8)),0)))</f>
        <v>-2500.6907889493746</v>
      </c>
      <c r="I23" s="121">
        <f>IF($A23&lt;$B$5+$B$4,-(LOOKUP($A23,Cot_droits!$A$17:$A$68,Cot_droits!$I$17:$I$68)+LOOKUP($A23,Cot_droits!$A$17:$A$68,Cot_droits!$J$17:$J$68)+LOOKUP($A23,Cot_droits!$A$17:$A$68,Cot_droits!$N$17:$N$68))/LOOKUP($A23,Barèmes!$A$65:$A$148,Barèmes!$G$65:$G$148),IF(AND($A23&gt;=$B$5+$B$4,$A23&lt;=INT($B$8)-1+$B$4),LOOKUP($A23,Retraite!$A$7:$A$47,Retraite!$Q$7:Q$47)/LOOKUP($A23,Barèmes!$A$65:$A$148,Barèmes!$G$65:$G$148),IF($A23=INT($B$8+$B$4),(LOOKUP($A23,Retraite!$A$7:$A$47,Retraite!$Q$7:$Q$47)/LOOKUP($A23,Barèmes!$A$65:$A$148,Barèmes!$G$65:$G$148))*(1-(INT($B$8)+1-$B$8)),0)))</f>
        <v>-2500.6907889493746</v>
      </c>
      <c r="J23" s="115"/>
      <c r="K23" s="115"/>
      <c r="L23" s="115"/>
    </row>
    <row r="24" spans="1:12" s="43" customFormat="1" ht="15.75" customHeight="1" x14ac:dyDescent="0.25">
      <c r="A24" s="125">
        <f t="shared" si="0"/>
        <v>2029</v>
      </c>
      <c r="B24" s="131">
        <f>IF($A24&lt;$B$5+$B$4,-LOOKUP($A24,Cot_droits!$A$17:$A$68,Cot_droits!$Q$17:$Q$68)/LOOKUP($A24,Barèmes!$A$65:$A$148,Barèmes!$G$65:$G$148),IF(AND($A24&gt;=$B$5+$B$4,$A24&lt;=INT($B$8)+$B$4-1),LOOKUP($A24,Retraite!$A$7:$A$47,Retraite!$K$7:$K$47)/LOOKUP($A24,Barèmes!$A$65:$A$148,Barèmes!$G$65:$G$148),IF($A24=INT($B$8+$B$4),(LOOKUP($A24,Retraite!$A$7:$A$47,Retraite!$K$7:$K$47)/LOOKUP($A24,Barèmes!$A$65:$A$148,Barèmes!$G$65:$G$148))*(1-(INT($B$8+1)-$B$8)),0)))</f>
        <v>-7440.7090823940398</v>
      </c>
      <c r="C24" s="121">
        <f>IF($A24&lt;$B$5+$B$4,-LOOKUP($A24,Cot_droits!$A$17:$A$68,Cot_droits!$Q$17:$Q$68)/LOOKUP($A24,Barèmes!$A$65:$A$148,Barèmes!$G$65:$G$148),IF(AND($A24&gt;=$B$5+$B$4,$A24&lt;=INT($B$8)-1+$B$4),LOOKUP($A24,Retraite!$A$7:$A$47,Retraite!N$7:$N$47)/LOOKUP($A24,Barèmes!$A$65:$A$148,Barèmes!$G$65:$G$148),IF($A24=INT($B$8+$B$4),(LOOKUP($A24,Retraite!$A$7:$A$47,Retraite!$N$7:$N$47)/LOOKUP($A24,Barèmes!$A$65:$A$148,Barèmes!$G$65:$G$148))*(1-(INT($B$8)+1-$B$8)),0)))</f>
        <v>-7440.7090823940398</v>
      </c>
      <c r="D24" s="115"/>
      <c r="E24" s="131">
        <f>IF($A24&lt;$B$5+$B$4,-(LOOKUP($A24,Cot_droits!$A$17:$A$68,Cot_droits!$H$17:$H$68)+LOOKUP($A24,Cot_droits!$A$17:$A$68,Cot_droits!$L$17:$L$68))/LOOKUP($A24,Barèmes!$A$65:$A$148,Barèmes!$G$65:$G$148),IF(AND($A24&gt;=$B$5+$B$4,$A24&lt;=INT($B$8)-1+$B$4),LOOKUP($A24,Retraite!$A$7:$A$47,Retraite!$L$7:$L$47)/LOOKUP($A24,Barèmes!$A$65:$A$148,Barèmes!$G$65:$G$148),IF($A24=INT($B$8+$B$4),(LOOKUP($A24,Retraite!$A$7:$A$47,Retraite!$L$7:$L$47)/LOOKUP($A24,Barèmes!$A$65:$A$148,Barèmes!$G$65:$G$148))*(1-(INT($B$8)+1-$B$8)),0)))</f>
        <v>-4755.2598189851742</v>
      </c>
      <c r="F24" s="121">
        <f>IF($A24&lt;$B$5+$B$4,-(LOOKUP($A24,Cot_droits!$A$17:$A$68,Cot_droits!$H$17:$H$68)+LOOKUP($A24,Cot_droits!$A$17:$A$68,Cot_droits!$L$17:$L$68))/LOOKUP($A24,Barèmes!$A$65:$A$148,Barèmes!$G$65:$G$148),IF(AND($A24&gt;=$B$5+$B$4,$A24&lt;=INT($B$8)-1+$B$4),LOOKUP($A24,Retraite!$A$7:$A$47,Retraite!$P$7:P$47)/LOOKUP($A24,Barèmes!$A$65:$A$148,Barèmes!$G$65:$G$148),IF($A24=INT($B$8+$B$4),(LOOKUP($A24,Retraite!$A$7:$A$47,Retraite!$P$7:$P$47)/LOOKUP($A24,Barèmes!$A$65:$A$148,Barèmes!$G$65:$G$148))*(1-(INT($B$8)+1-$B$8)),0)))</f>
        <v>-4755.2598189851742</v>
      </c>
      <c r="H24" s="131">
        <f>IF($A24&lt;$B$5+$B$4,-(LOOKUP($A24,Cot_droits!$A$17:$A$68,Cot_droits!$I$17:$I$68)+LOOKUP($A24,Cot_droits!$A$17:$A$68,Cot_droits!$J$17:$J$68)+LOOKUP($A24,Cot_droits!$A$17:$A$68,Cot_droits!$N$17:$N$68))/LOOKUP($A24,Barèmes!$A$65:$A$148,Barèmes!$G$65:$G$148),IF(AND($A24&gt;=$B$5+$B$4,$A24&lt;=INT($B$8)-1+$B$4),LOOKUP($A24,Retraite!$A$7:$A$47,Retraite!$M$7:$M$47)/LOOKUP($A24,Barèmes!$A$65:$A$148,Barèmes!$G$65:$G$148),IF($A24=INT($B$8+$B$4),(LOOKUP($A24,Retraite!$A$7:$A$47,Retraite!$M$7:$M$47)/LOOKUP($A24,Barèmes!$A$65:$A$148,Barèmes!$G$65:$G$148))*(1-(INT($B$8)+1-$B$8)),0)))</f>
        <v>-2685.4492634088665</v>
      </c>
      <c r="I24" s="121">
        <f>IF($A24&lt;$B$5+$B$4,-(LOOKUP($A24,Cot_droits!$A$17:$A$68,Cot_droits!$I$17:$I$68)+LOOKUP($A24,Cot_droits!$A$17:$A$68,Cot_droits!$J$17:$J$68)+LOOKUP($A24,Cot_droits!$A$17:$A$68,Cot_droits!$N$17:$N$68))/LOOKUP($A24,Barèmes!$A$65:$A$148,Barèmes!$G$65:$G$148),IF(AND($A24&gt;=$B$5+$B$4,$A24&lt;=INT($B$8)-1+$B$4),LOOKUP($A24,Retraite!$A$7:$A$47,Retraite!$Q$7:Q$47)/LOOKUP($A24,Barèmes!$A$65:$A$148,Barèmes!$G$65:$G$148),IF($A24=INT($B$8+$B$4),(LOOKUP($A24,Retraite!$A$7:$A$47,Retraite!$Q$7:$Q$47)/LOOKUP($A24,Barèmes!$A$65:$A$148,Barèmes!$G$65:$G$148))*(1-(INT($B$8)+1-$B$8)),0)))</f>
        <v>-2685.4492634088665</v>
      </c>
      <c r="J24" s="115"/>
    </row>
    <row r="25" spans="1:12" s="43" customFormat="1" ht="15.75" customHeight="1" x14ac:dyDescent="0.25">
      <c r="A25" s="125">
        <f t="shared" si="0"/>
        <v>2030</v>
      </c>
      <c r="B25" s="131">
        <f>IF($A25&lt;$B$5+$B$4,-LOOKUP($A25,Cot_droits!$A$17:$A$68,Cot_droits!$Q$17:$Q$68)/LOOKUP($A25,Barèmes!$A$65:$A$148,Barèmes!$G$65:$G$148),IF(AND($A25&gt;=$B$5+$B$4,$A25&lt;=INT($B$8)+$B$4-1),LOOKUP($A25,Retraite!$A$7:$A$47,Retraite!$K$7:$K$47)/LOOKUP($A25,Barèmes!$A$65:$A$148,Barèmes!$G$65:$G$148),IF($A25=INT($B$8+$B$4),(LOOKUP($A25,Retraite!$A$7:$A$47,Retraite!$K$7:$K$47)/LOOKUP($A25,Barèmes!$A$65:$A$148,Barèmes!$G$65:$G$148))*(1-(INT($B$8+1)-$B$8)),0)))</f>
        <v>-7657.5596572059603</v>
      </c>
      <c r="C25" s="121">
        <f>IF($A25&lt;$B$5+$B$4,-LOOKUP($A25,Cot_droits!$A$17:$A$68,Cot_droits!$Q$17:$Q$68)/LOOKUP($A25,Barèmes!$A$65:$A$148,Barèmes!$G$65:$G$148),IF(AND($A25&gt;=$B$5+$B$4,$A25&lt;=INT($B$8)-1+$B$4),LOOKUP($A25,Retraite!$A$7:$A$47,Retraite!N$7:$N$47)/LOOKUP($A25,Barèmes!$A$65:$A$148,Barèmes!$G$65:$G$148),IF($A25=INT($B$8+$B$4),(LOOKUP($A25,Retraite!$A$7:$A$47,Retraite!$N$7:$N$47)/LOOKUP($A25,Barèmes!$A$65:$A$148,Barèmes!$G$65:$G$148))*(1-(INT($B$8)+1-$B$8)),0)))</f>
        <v>-7657.5596572059603</v>
      </c>
      <c r="D25" s="115"/>
      <c r="E25" s="131">
        <f>IF($A25&lt;$B$5+$B$4,-(LOOKUP($A25,Cot_droits!$A$17:$A$68,Cot_droits!$H$17:$H$68)+LOOKUP($A25,Cot_droits!$A$17:$A$68,Cot_droits!$L$17:$L$68))/LOOKUP($A25,Barèmes!$A$65:$A$148,Barèmes!$G$65:$G$148),IF(AND($A25&gt;=$B$5+$B$4,$A25&lt;=INT($B$8)-1+$B$4),LOOKUP($A25,Retraite!$A$7:$A$47,Retraite!$L$7:$L$47)/LOOKUP($A25,Barèmes!$A$65:$A$148,Barèmes!$G$65:$G$148),IF($A25=INT($B$8+$B$4),(LOOKUP($A25,Retraite!$A$7:$A$47,Retraite!$L$7:$L$47)/LOOKUP($A25,Barèmes!$A$65:$A$148,Barèmes!$G$65:$G$148))*(1-(INT($B$8)+1-$B$8)),0)))</f>
        <v>-4893.8461840356367</v>
      </c>
      <c r="F25" s="121">
        <f>IF($A25&lt;$B$5+$B$4,-(LOOKUP($A25,Cot_droits!$A$17:$A$68,Cot_droits!$H$17:$H$68)+LOOKUP($A25,Cot_droits!$A$17:$A$68,Cot_droits!$L$17:$L$68))/LOOKUP($A25,Barèmes!$A$65:$A$148,Barèmes!$G$65:$G$148),IF(AND($A25&gt;=$B$5+$B$4,$A25&lt;=INT($B$8)-1+$B$4),LOOKUP($A25,Retraite!$A$7:$A$47,Retraite!$P$7:P$47)/LOOKUP($A25,Barèmes!$A$65:$A$148,Barèmes!$G$65:$G$148),IF($A25=INT($B$8+$B$4),(LOOKUP($A25,Retraite!$A$7:$A$47,Retraite!$P$7:$P$47)/LOOKUP($A25,Barèmes!$A$65:$A$148,Barèmes!$G$65:$G$148))*(1-(INT($B$8)+1-$B$8)),0)))</f>
        <v>-4893.8461840356367</v>
      </c>
      <c r="H25" s="131">
        <f>IF($A25&lt;$B$5+$B$4,-(LOOKUP($A25,Cot_droits!$A$17:$A$68,Cot_droits!$I$17:$I$68)+LOOKUP($A25,Cot_droits!$A$17:$A$68,Cot_droits!$J$17:$J$68)+LOOKUP($A25,Cot_droits!$A$17:$A$68,Cot_droits!$N$17:$N$68))/LOOKUP($A25,Barèmes!$A$65:$A$148,Barèmes!$G$65:$G$148),IF(AND($A25&gt;=$B$5+$B$4,$A25&lt;=INT($B$8)-1+$B$4),LOOKUP($A25,Retraite!$A$7:$A$47,Retraite!$M$7:$M$47)/LOOKUP($A25,Barèmes!$A$65:$A$148,Barèmes!$G$65:$G$148),IF($A25=INT($B$8+$B$4),(LOOKUP($A25,Retraite!$A$7:$A$47,Retraite!$M$7:$M$47)/LOOKUP($A25,Barèmes!$A$65:$A$148,Barèmes!$G$65:$G$148))*(1-(INT($B$8)+1-$B$8)),0)))</f>
        <v>-2763.7134731703227</v>
      </c>
      <c r="I25" s="121">
        <f>IF($A25&lt;$B$5+$B$4,-(LOOKUP($A25,Cot_droits!$A$17:$A$68,Cot_droits!$I$17:$I$68)+LOOKUP($A25,Cot_droits!$A$17:$A$68,Cot_droits!$J$17:$J$68)+LOOKUP($A25,Cot_droits!$A$17:$A$68,Cot_droits!$N$17:$N$68))/LOOKUP($A25,Barèmes!$A$65:$A$148,Barèmes!$G$65:$G$148),IF(AND($A25&gt;=$B$5+$B$4,$A25&lt;=INT($B$8)-1+$B$4),LOOKUP($A25,Retraite!$A$7:$A$47,Retraite!$Q$7:Q$47)/LOOKUP($A25,Barèmes!$A$65:$A$148,Barèmes!$G$65:$G$148),IF($A25=INT($B$8+$B$4),(LOOKUP($A25,Retraite!$A$7:$A$47,Retraite!$Q$7:$Q$47)/LOOKUP($A25,Barèmes!$A$65:$A$148,Barèmes!$G$65:$G$148))*(1-(INT($B$8)+1-$B$8)),0)))</f>
        <v>-2763.7134731703227</v>
      </c>
      <c r="J25" s="115"/>
    </row>
    <row r="26" spans="1:12" s="43" customFormat="1" ht="15.75" customHeight="1" x14ac:dyDescent="0.25">
      <c r="A26" s="125">
        <f t="shared" si="0"/>
        <v>2031</v>
      </c>
      <c r="B26" s="131">
        <f>IF($A26&lt;$B$5+$B$4,-LOOKUP($A26,Cot_droits!$A$17:$A$68,Cot_droits!$Q$17:$Q$68)/LOOKUP($A26,Barèmes!$A$65:$A$148,Barèmes!$G$65:$G$148),IF(AND($A26&gt;=$B$5+$B$4,$A26&lt;=INT($B$8)+$B$4-1),LOOKUP($A26,Retraite!$A$7:$A$47,Retraite!$K$7:$K$47)/LOOKUP($A26,Barèmes!$A$65:$A$148,Barèmes!$G$65:$G$148),IF($A26=INT($B$8+$B$4),(LOOKUP($A26,Retraite!$A$7:$A$47,Retraite!$K$7:$K$47)/LOOKUP($A26,Barèmes!$A$65:$A$148,Barèmes!$G$65:$G$148))*(1-(INT($B$8+1)-$B$8)),0)))</f>
        <v>-7775.9270357177102</v>
      </c>
      <c r="C26" s="121">
        <f>IF($A26&lt;$B$5+$B$4,-LOOKUP($A26,Cot_droits!$A$17:$A$68,Cot_droits!$Q$17:$Q$68)/LOOKUP($A26,Barèmes!$A$65:$A$148,Barèmes!$G$65:$G$148),IF(AND($A26&gt;=$B$5+$B$4,$A26&lt;=INT($B$8)-1+$B$4),LOOKUP($A26,Retraite!$A$7:$A$47,Retraite!N$7:$N$47)/LOOKUP($A26,Barèmes!$A$65:$A$148,Barèmes!$G$65:$G$148),IF($A26=INT($B$8+$B$4),(LOOKUP($A26,Retraite!$A$7:$A$47,Retraite!$N$7:$N$47)/LOOKUP($A26,Barèmes!$A$65:$A$148,Barèmes!$G$65:$G$148))*(1-(INT($B$8)+1-$B$8)),0)))</f>
        <v>-7775.9270357177102</v>
      </c>
      <c r="D26" s="115"/>
      <c r="E26" s="131">
        <f>IF($A26&lt;$B$5+$B$4,-(LOOKUP($A26,Cot_droits!$A$17:$A$68,Cot_droits!$H$17:$H$68)+LOOKUP($A26,Cot_droits!$A$17:$A$68,Cot_droits!$L$17:$L$68))/LOOKUP($A26,Barèmes!$A$65:$A$148,Barèmes!$G$65:$G$148),IF(AND($A26&gt;=$B$5+$B$4,$A26&lt;=INT($B$8)-1+$B$4),LOOKUP($A26,Retraite!$A$7:$A$47,Retraite!$L$7:$L$47)/LOOKUP($A26,Barèmes!$A$65:$A$148,Barèmes!$G$65:$G$148),IF($A26=INT($B$8+$B$4),(LOOKUP($A26,Retraite!$A$7:$A$47,Retraite!$L$7:$L$47)/LOOKUP($A26,Barèmes!$A$65:$A$148,Barèmes!$G$65:$G$148))*(1-(INT($B$8)+1-$B$8)),0)))</f>
        <v>-4969.4932269024757</v>
      </c>
      <c r="F26" s="121">
        <f>IF($A26&lt;$B$5+$B$4,-(LOOKUP($A26,Cot_droits!$A$17:$A$68,Cot_droits!$H$17:$H$68)+LOOKUP($A26,Cot_droits!$A$17:$A$68,Cot_droits!$L$17:$L$68))/LOOKUP($A26,Barèmes!$A$65:$A$148,Barèmes!$G$65:$G$148),IF(AND($A26&gt;=$B$5+$B$4,$A26&lt;=INT($B$8)-1+$B$4),LOOKUP($A26,Retraite!$A$7:$A$47,Retraite!$P$7:P$47)/LOOKUP($A26,Barèmes!$A$65:$A$148,Barèmes!$G$65:$G$148),IF($A26=INT($B$8+$B$4),(LOOKUP($A26,Retraite!$A$7:$A$47,Retraite!$P$7:$P$47)/LOOKUP($A26,Barèmes!$A$65:$A$148,Barèmes!$G$65:$G$148))*(1-(INT($B$8)+1-$B$8)),0)))</f>
        <v>-4969.4932269024757</v>
      </c>
      <c r="H26" s="131">
        <f>IF($A26&lt;$B$5+$B$4,-(LOOKUP($A26,Cot_droits!$A$17:$A$68,Cot_droits!$I$17:$I$68)+LOOKUP($A26,Cot_droits!$A$17:$A$68,Cot_droits!$J$17:$J$68)+LOOKUP($A26,Cot_droits!$A$17:$A$68,Cot_droits!$N$17:$N$68))/LOOKUP($A26,Barèmes!$A$65:$A$148,Barèmes!$G$65:$G$148),IF(AND($A26&gt;=$B$5+$B$4,$A26&lt;=INT($B$8)-1+$B$4),LOOKUP($A26,Retraite!$A$7:$A$47,Retraite!$M$7:$M$47)/LOOKUP($A26,Barèmes!$A$65:$A$148,Barèmes!$G$65:$G$148),IF($A26=INT($B$8+$B$4),(LOOKUP($A26,Retraite!$A$7:$A$47,Retraite!$M$7:$M$47)/LOOKUP($A26,Barèmes!$A$65:$A$148,Barèmes!$G$65:$G$148))*(1-(INT($B$8)+1-$B$8)),0)))</f>
        <v>-2806.4338088152349</v>
      </c>
      <c r="I26" s="121">
        <f>IF($A26&lt;$B$5+$B$4,-(LOOKUP($A26,Cot_droits!$A$17:$A$68,Cot_droits!$I$17:$I$68)+LOOKUP($A26,Cot_droits!$A$17:$A$68,Cot_droits!$J$17:$J$68)+LOOKUP($A26,Cot_droits!$A$17:$A$68,Cot_droits!$N$17:$N$68))/LOOKUP($A26,Barèmes!$A$65:$A$148,Barèmes!$G$65:$G$148),IF(AND($A26&gt;=$B$5+$B$4,$A26&lt;=INT($B$8)-1+$B$4),LOOKUP($A26,Retraite!$A$7:$A$47,Retraite!$Q$7:Q$47)/LOOKUP($A26,Barèmes!$A$65:$A$148,Barèmes!$G$65:$G$148),IF($A26=INT($B$8+$B$4),(LOOKUP($A26,Retraite!$A$7:$A$47,Retraite!$Q$7:$Q$47)/LOOKUP($A26,Barèmes!$A$65:$A$148,Barèmes!$G$65:$G$148))*(1-(INT($B$8)+1-$B$8)),0)))</f>
        <v>-2806.4338088152349</v>
      </c>
      <c r="J26" s="115"/>
    </row>
    <row r="27" spans="1:12" s="43" customFormat="1" ht="15.75" customHeight="1" x14ac:dyDescent="0.25">
      <c r="A27" s="125">
        <f t="shared" si="0"/>
        <v>2032</v>
      </c>
      <c r="B27" s="131">
        <f>IF($A27&lt;$B$5+$B$4,-LOOKUP($A27,Cot_droits!$A$17:$A$68,Cot_droits!$Q$17:$Q$68)/LOOKUP($A27,Barèmes!$A$65:$A$148,Barèmes!$G$65:$G$148),IF(AND($A27&gt;=$B$5+$B$4,$A27&lt;=INT($B$8)+$B$4-1),LOOKUP($A27,Retraite!$A$7:$A$47,Retraite!$K$7:$K$47)/LOOKUP($A27,Barèmes!$A$65:$A$148,Barèmes!$G$65:$G$148),IF($A27=INT($B$8+$B$4),(LOOKUP($A27,Retraite!$A$7:$A$47,Retraite!$K$7:$K$47)/LOOKUP($A27,Barèmes!$A$65:$A$148,Barèmes!$G$65:$G$148))*(1-(INT($B$8+1)-$B$8)),0)))</f>
        <v>-7983.6855438050543</v>
      </c>
      <c r="C27" s="121">
        <f>IF($A27&lt;$B$5+$B$4,-LOOKUP($A27,Cot_droits!$A$17:$A$68,Cot_droits!$Q$17:$Q$68)/LOOKUP($A27,Barèmes!$A$65:$A$148,Barèmes!$G$65:$G$148),IF(AND($A27&gt;=$B$5+$B$4,$A27&lt;=INT($B$8)-1+$B$4),LOOKUP($A27,Retraite!$A$7:$A$47,Retraite!N$7:$N$47)/LOOKUP($A27,Barèmes!$A$65:$A$148,Barèmes!$G$65:$G$148),IF($A27=INT($B$8+$B$4),(LOOKUP($A27,Retraite!$A$7:$A$47,Retraite!$N$7:$N$47)/LOOKUP($A27,Barèmes!$A$65:$A$148,Barèmes!$G$65:$G$148))*(1-(INT($B$8)+1-$B$8)),0)))</f>
        <v>-7983.6855438050543</v>
      </c>
      <c r="D27" s="115"/>
      <c r="E27" s="131">
        <f>IF($A27&lt;$B$5+$B$4,-(LOOKUP($A27,Cot_droits!$A$17:$A$68,Cot_droits!$H$17:$H$68)+LOOKUP($A27,Cot_droits!$A$17:$A$68,Cot_droits!$L$17:$L$68))/LOOKUP($A27,Barèmes!$A$65:$A$148,Barèmes!$G$65:$G$148),IF(AND($A27&gt;=$B$5+$B$4,$A27&lt;=INT($B$8)-1+$B$4),LOOKUP($A27,Retraite!$A$7:$A$47,Retraite!$L$7:$L$47)/LOOKUP($A27,Barèmes!$A$65:$A$148,Barèmes!$G$65:$G$148),IF($A27=INT($B$8+$B$4),(LOOKUP($A27,Retraite!$A$7:$A$47,Retraite!$L$7:$L$47)/LOOKUP($A27,Barèmes!$A$65:$A$148,Barèmes!$G$65:$G$148))*(1-(INT($B$8)+1-$B$8)),0)))</f>
        <v>-5102.2689710714958</v>
      </c>
      <c r="F27" s="121">
        <f>IF($A27&lt;$B$5+$B$4,-(LOOKUP($A27,Cot_droits!$A$17:$A$68,Cot_droits!$H$17:$H$68)+LOOKUP($A27,Cot_droits!$A$17:$A$68,Cot_droits!$L$17:$L$68))/LOOKUP($A27,Barèmes!$A$65:$A$148,Barèmes!$G$65:$G$148),IF(AND($A27&gt;=$B$5+$B$4,$A27&lt;=INT($B$8)-1+$B$4),LOOKUP($A27,Retraite!$A$7:$A$47,Retraite!$P$7:P$47)/LOOKUP($A27,Barèmes!$A$65:$A$148,Barèmes!$G$65:$G$148),IF($A27=INT($B$8+$B$4),(LOOKUP($A27,Retraite!$A$7:$A$47,Retraite!$P$7:$P$47)/LOOKUP($A27,Barèmes!$A$65:$A$148,Barèmes!$G$65:$G$148))*(1-(INT($B$8)+1-$B$8)),0)))</f>
        <v>-5102.2689710714958</v>
      </c>
      <c r="H27" s="131">
        <f>IF($A27&lt;$B$5+$B$4,-(LOOKUP($A27,Cot_droits!$A$17:$A$68,Cot_droits!$I$17:$I$68)+LOOKUP($A27,Cot_droits!$A$17:$A$68,Cot_droits!$J$17:$J$68)+LOOKUP($A27,Cot_droits!$A$17:$A$68,Cot_droits!$N$17:$N$68))/LOOKUP($A27,Barèmes!$A$65:$A$148,Barèmes!$G$65:$G$148),IF(AND($A27&gt;=$B$5+$B$4,$A27&lt;=INT($B$8)-1+$B$4),LOOKUP($A27,Retraite!$A$7:$A$47,Retraite!$M$7:$M$47)/LOOKUP($A27,Barèmes!$A$65:$A$148,Barèmes!$G$65:$G$148),IF($A27=INT($B$8+$B$4),(LOOKUP($A27,Retraite!$A$7:$A$47,Retraite!$M$7:$M$47)/LOOKUP($A27,Barèmes!$A$65:$A$148,Barèmes!$G$65:$G$148))*(1-(INT($B$8)+1-$B$8)),0)))</f>
        <v>-2881.4165727335594</v>
      </c>
      <c r="I27" s="121">
        <f>IF($A27&lt;$B$5+$B$4,-(LOOKUP($A27,Cot_droits!$A$17:$A$68,Cot_droits!$I$17:$I$68)+LOOKUP($A27,Cot_droits!$A$17:$A$68,Cot_droits!$J$17:$J$68)+LOOKUP($A27,Cot_droits!$A$17:$A$68,Cot_droits!$N$17:$N$68))/LOOKUP($A27,Barèmes!$A$65:$A$148,Barèmes!$G$65:$G$148),IF(AND($A27&gt;=$B$5+$B$4,$A27&lt;=INT($B$8)-1+$B$4),LOOKUP($A27,Retraite!$A$7:$A$47,Retraite!$Q$7:Q$47)/LOOKUP($A27,Barèmes!$A$65:$A$148,Barèmes!$G$65:$G$148),IF($A27=INT($B$8+$B$4),(LOOKUP($A27,Retraite!$A$7:$A$47,Retraite!$Q$7:$Q$47)/LOOKUP($A27,Barèmes!$A$65:$A$148,Barèmes!$G$65:$G$148))*(1-(INT($B$8)+1-$B$8)),0)))</f>
        <v>-2881.4165727335594</v>
      </c>
      <c r="J27" s="115"/>
    </row>
    <row r="28" spans="1:12" s="43" customFormat="1" ht="15.75" customHeight="1" x14ac:dyDescent="0.25">
      <c r="A28" s="125">
        <f t="shared" si="0"/>
        <v>2033</v>
      </c>
      <c r="B28" s="131">
        <f>IF($A28&lt;$B$5+$B$4,-LOOKUP($A28,Cot_droits!$A$17:$A$68,Cot_droits!$Q$17:$Q$68)/LOOKUP($A28,Barèmes!$A$65:$A$148,Barèmes!$G$65:$G$148),IF(AND($A28&gt;=$B$5+$B$4,$A28&lt;=INT($B$8)+$B$4-1),LOOKUP($A28,Retraite!$A$7:$A$47,Retraite!$K$7:$K$47)/LOOKUP($A28,Barèmes!$A$65:$A$148,Barèmes!$G$65:$G$148),IF($A28=INT($B$8+$B$4),(LOOKUP($A28,Retraite!$A$7:$A$47,Retraite!$K$7:$K$47)/LOOKUP($A28,Barèmes!$A$65:$A$148,Barèmes!$G$65:$G$148))*(1-(INT($B$8+1)-$B$8)),0)))</f>
        <v>-8233.8768081645267</v>
      </c>
      <c r="C28" s="121">
        <f>IF($A28&lt;$B$5+$B$4,-LOOKUP($A28,Cot_droits!$A$17:$A$68,Cot_droits!$Q$17:$Q$68)/LOOKUP($A28,Barèmes!$A$65:$A$148,Barèmes!$G$65:$G$148),IF(AND($A28&gt;=$B$5+$B$4,$A28&lt;=INT($B$8)-1+$B$4),LOOKUP($A28,Retraite!$A$7:$A$47,Retraite!N$7:$N$47)/LOOKUP($A28,Barèmes!$A$65:$A$148,Barèmes!$G$65:$G$148),IF($A28=INT($B$8+$B$4),(LOOKUP($A28,Retraite!$A$7:$A$47,Retraite!$N$7:$N$47)/LOOKUP($A28,Barèmes!$A$65:$A$148,Barèmes!$G$65:$G$148))*(1-(INT($B$8)+1-$B$8)),0)))</f>
        <v>-8233.8768081645267</v>
      </c>
      <c r="D28" s="115"/>
      <c r="E28" s="131">
        <f>IF($A28&lt;$B$5+$B$4,-(LOOKUP($A28,Cot_droits!$A$17:$A$68,Cot_droits!$H$17:$H$68)+LOOKUP($A28,Cot_droits!$A$17:$A$68,Cot_droits!$L$17:$L$68))/LOOKUP($A28,Barèmes!$A$65:$A$148,Barèmes!$G$65:$G$148),IF(AND($A28&gt;=$B$5+$B$4,$A28&lt;=INT($B$8)-1+$B$4),LOOKUP($A28,Retraite!$A$7:$A$47,Retraite!$L$7:$L$47)/LOOKUP($A28,Barèmes!$A$65:$A$148,Barèmes!$G$65:$G$148),IF($A28=INT($B$8+$B$4),(LOOKUP($A28,Retraite!$A$7:$A$47,Retraite!$L$7:$L$47)/LOOKUP($A28,Barèmes!$A$65:$A$148,Barèmes!$G$65:$G$148))*(1-(INT($B$8)+1-$B$8)),0)))</f>
        <v>-5262.1629345762349</v>
      </c>
      <c r="F28" s="121">
        <f>IF($A28&lt;$B$5+$B$4,-(LOOKUP($A28,Cot_droits!$A$17:$A$68,Cot_droits!$H$17:$H$68)+LOOKUP($A28,Cot_droits!$A$17:$A$68,Cot_droits!$L$17:$L$68))/LOOKUP($A28,Barèmes!$A$65:$A$148,Barèmes!$G$65:$G$148),IF(AND($A28&gt;=$B$5+$B$4,$A28&lt;=INT($B$8)-1+$B$4),LOOKUP($A28,Retraite!$A$7:$A$47,Retraite!$P$7:P$47)/LOOKUP($A28,Barèmes!$A$65:$A$148,Barèmes!$G$65:$G$148),IF($A28=INT($B$8+$B$4),(LOOKUP($A28,Retraite!$A$7:$A$47,Retraite!$P$7:$P$47)/LOOKUP($A28,Barèmes!$A$65:$A$148,Barèmes!$G$65:$G$148))*(1-(INT($B$8)+1-$B$8)),0)))</f>
        <v>-5262.1629345762349</v>
      </c>
      <c r="H28" s="131">
        <f>IF($A28&lt;$B$5+$B$4,-(LOOKUP($A28,Cot_droits!$A$17:$A$68,Cot_droits!$I$17:$I$68)+LOOKUP($A28,Cot_droits!$A$17:$A$68,Cot_droits!$J$17:$J$68)+LOOKUP($A28,Cot_droits!$A$17:$A$68,Cot_droits!$N$17:$N$68))/LOOKUP($A28,Barèmes!$A$65:$A$148,Barèmes!$G$65:$G$148),IF(AND($A28&gt;=$B$5+$B$4,$A28&lt;=INT($B$8)-1+$B$4),LOOKUP($A28,Retraite!$A$7:$A$47,Retraite!$M$7:$M$47)/LOOKUP($A28,Barèmes!$A$65:$A$148,Barèmes!$G$65:$G$148),IF($A28=INT($B$8+$B$4),(LOOKUP($A28,Retraite!$A$7:$A$47,Retraite!$M$7:$M$47)/LOOKUP($A28,Barèmes!$A$65:$A$148,Barèmes!$G$65:$G$148))*(1-(INT($B$8)+1-$B$8)),0)))</f>
        <v>-2971.7138735882922</v>
      </c>
      <c r="I28" s="121">
        <f>IF($A28&lt;$B$5+$B$4,-(LOOKUP($A28,Cot_droits!$A$17:$A$68,Cot_droits!$I$17:$I$68)+LOOKUP($A28,Cot_droits!$A$17:$A$68,Cot_droits!$J$17:$J$68)+LOOKUP($A28,Cot_droits!$A$17:$A$68,Cot_droits!$N$17:$N$68))/LOOKUP($A28,Barèmes!$A$65:$A$148,Barèmes!$G$65:$G$148),IF(AND($A28&gt;=$B$5+$B$4,$A28&lt;=INT($B$8)-1+$B$4),LOOKUP($A28,Retraite!$A$7:$A$47,Retraite!$Q$7:Q$47)/LOOKUP($A28,Barèmes!$A$65:$A$148,Barèmes!$G$65:$G$148),IF($A28=INT($B$8+$B$4),(LOOKUP($A28,Retraite!$A$7:$A$47,Retraite!$Q$7:$Q$47)/LOOKUP($A28,Barèmes!$A$65:$A$148,Barèmes!$G$65:$G$148))*(1-(INT($B$8)+1-$B$8)),0)))</f>
        <v>-2971.7138735882922</v>
      </c>
      <c r="J28" s="115"/>
    </row>
    <row r="29" spans="1:12" s="43" customFormat="1" ht="15.75" customHeight="1" x14ac:dyDescent="0.25">
      <c r="A29" s="125">
        <f t="shared" si="0"/>
        <v>2034</v>
      </c>
      <c r="B29" s="131">
        <f>IF($A29&lt;$B$5+$B$4,-LOOKUP($A29,Cot_droits!$A$17:$A$68,Cot_droits!$Q$17:$Q$68)/LOOKUP($A29,Barèmes!$A$65:$A$148,Barèmes!$G$65:$G$148),IF(AND($A29&gt;=$B$5+$B$4,$A29&lt;=INT($B$8)+$B$4-1),LOOKUP($A29,Retraite!$A$7:$A$47,Retraite!$K$7:$K$47)/LOOKUP($A29,Barèmes!$A$65:$A$148,Barèmes!$G$65:$G$148),IF($A29=INT($B$8+$B$4),(LOOKUP($A29,Retraite!$A$7:$A$47,Retraite!$K$7:$K$47)/LOOKUP($A29,Barèmes!$A$65:$A$148,Barèmes!$G$65:$G$148))*(1-(INT($B$8+1)-$B$8)),0)))</f>
        <v>-8523.7061984081956</v>
      </c>
      <c r="C29" s="121">
        <f>IF($A29&lt;$B$5+$B$4,-LOOKUP($A29,Cot_droits!$A$17:$A$68,Cot_droits!$Q$17:$Q$68)/LOOKUP($A29,Barèmes!$A$65:$A$148,Barèmes!$G$65:$G$148),IF(AND($A29&gt;=$B$5+$B$4,$A29&lt;=INT($B$8)-1+$B$4),LOOKUP($A29,Retraite!$A$7:$A$47,Retraite!N$7:$N$47)/LOOKUP($A29,Barèmes!$A$65:$A$148,Barèmes!$G$65:$G$148),IF($A29=INT($B$8+$B$4),(LOOKUP($A29,Retraite!$A$7:$A$47,Retraite!$N$7:$N$47)/LOOKUP($A29,Barèmes!$A$65:$A$148,Barèmes!$G$65:$G$148))*(1-(INT($B$8)+1-$B$8)),0)))</f>
        <v>-8523.7061984081956</v>
      </c>
      <c r="D29" s="115"/>
      <c r="E29" s="131">
        <f>IF($A29&lt;$B$5+$B$4,-(LOOKUP($A29,Cot_droits!$A$17:$A$68,Cot_droits!$H$17:$H$68)+LOOKUP($A29,Cot_droits!$A$17:$A$68,Cot_droits!$L$17:$L$68))/LOOKUP($A29,Barèmes!$A$65:$A$148,Barèmes!$G$65:$G$148),IF(AND($A29&gt;=$B$5+$B$4,$A29&lt;=INT($B$8)-1+$B$4),LOOKUP($A29,Retraite!$A$7:$A$47,Retraite!$L$7:$L$47)/LOOKUP($A29,Barèmes!$A$65:$A$148,Barèmes!$G$65:$G$148),IF($A29=INT($B$8+$B$4),(LOOKUP($A29,Retraite!$A$7:$A$47,Retraite!$L$7:$L$47)/LOOKUP($A29,Barèmes!$A$65:$A$148,Barèmes!$G$65:$G$148))*(1-(INT($B$8)+1-$B$8)),0)))</f>
        <v>-5447.3891057012124</v>
      </c>
      <c r="F29" s="121">
        <f>IF($A29&lt;$B$5+$B$4,-(LOOKUP($A29,Cot_droits!$A$17:$A$68,Cot_droits!$H$17:$H$68)+LOOKUP($A29,Cot_droits!$A$17:$A$68,Cot_droits!$L$17:$L$68))/LOOKUP($A29,Barèmes!$A$65:$A$148,Barèmes!$G$65:$G$148),IF(AND($A29&gt;=$B$5+$B$4,$A29&lt;=INT($B$8)-1+$B$4),LOOKUP($A29,Retraite!$A$7:$A$47,Retraite!$P$7:P$47)/LOOKUP($A29,Barèmes!$A$65:$A$148,Barèmes!$G$65:$G$148),IF($A29=INT($B$8+$B$4),(LOOKUP($A29,Retraite!$A$7:$A$47,Retraite!$P$7:$P$47)/LOOKUP($A29,Barèmes!$A$65:$A$148,Barèmes!$G$65:$G$148))*(1-(INT($B$8)+1-$B$8)),0)))</f>
        <v>-5447.3891057012124</v>
      </c>
      <c r="H29" s="131">
        <f>IF($A29&lt;$B$5+$B$4,-(LOOKUP($A29,Cot_droits!$A$17:$A$68,Cot_droits!$I$17:$I$68)+LOOKUP($A29,Cot_droits!$A$17:$A$68,Cot_droits!$J$17:$J$68)+LOOKUP($A29,Cot_droits!$A$17:$A$68,Cot_droits!$N$17:$N$68))/LOOKUP($A29,Barèmes!$A$65:$A$148,Barèmes!$G$65:$G$148),IF(AND($A29&gt;=$B$5+$B$4,$A29&lt;=INT($B$8)-1+$B$4),LOOKUP($A29,Retraite!$A$7:$A$47,Retraite!$M$7:$M$47)/LOOKUP($A29,Barèmes!$A$65:$A$148,Barèmes!$G$65:$G$148),IF($A29=INT($B$8+$B$4),(LOOKUP($A29,Retraite!$A$7:$A$47,Retraite!$M$7:$M$47)/LOOKUP($A29,Barèmes!$A$65:$A$148,Barèmes!$G$65:$G$148))*(1-(INT($B$8)+1-$B$8)),0)))</f>
        <v>-3076.3170927069837</v>
      </c>
      <c r="I29" s="121">
        <f>IF($A29&lt;$B$5+$B$4,-(LOOKUP($A29,Cot_droits!$A$17:$A$68,Cot_droits!$I$17:$I$68)+LOOKUP($A29,Cot_droits!$A$17:$A$68,Cot_droits!$J$17:$J$68)+LOOKUP($A29,Cot_droits!$A$17:$A$68,Cot_droits!$N$17:$N$68))/LOOKUP($A29,Barèmes!$A$65:$A$148,Barèmes!$G$65:$G$148),IF(AND($A29&gt;=$B$5+$B$4,$A29&lt;=INT($B$8)-1+$B$4),LOOKUP($A29,Retraite!$A$7:$A$47,Retraite!$Q$7:Q$47)/LOOKUP($A29,Barèmes!$A$65:$A$148,Barèmes!$G$65:$G$148),IF($A29=INT($B$8+$B$4),(LOOKUP($A29,Retraite!$A$7:$A$47,Retraite!$Q$7:$Q$47)/LOOKUP($A29,Barèmes!$A$65:$A$148,Barèmes!$G$65:$G$148))*(1-(INT($B$8)+1-$B$8)),0)))</f>
        <v>-3076.3170927069837</v>
      </c>
      <c r="J29" s="115"/>
    </row>
    <row r="30" spans="1:12" s="43" customFormat="1" ht="15.75" customHeight="1" x14ac:dyDescent="0.25">
      <c r="A30" s="125">
        <f t="shared" si="0"/>
        <v>2035</v>
      </c>
      <c r="B30" s="131">
        <f>IF($A30&lt;$B$5+$B$4,-LOOKUP($A30,Cot_droits!$A$17:$A$68,Cot_droits!$Q$17:$Q$68)/LOOKUP($A30,Barèmes!$A$65:$A$148,Barèmes!$G$65:$G$148),IF(AND($A30&gt;=$B$5+$B$4,$A30&lt;=INT($B$8)+$B$4-1),LOOKUP($A30,Retraite!$A$7:$A$47,Retraite!$K$7:$K$47)/LOOKUP($A30,Barèmes!$A$65:$A$148,Barèmes!$G$65:$G$148),IF($A30=INT($B$8+$B$4),(LOOKUP($A30,Retraite!$A$7:$A$47,Retraite!$K$7:$K$47)/LOOKUP($A30,Barèmes!$A$65:$A$148,Barèmes!$G$65:$G$148))*(1-(INT($B$8+1)-$B$8)),0)))</f>
        <v>-8737.5292892606649</v>
      </c>
      <c r="C30" s="121">
        <f>IF($A30&lt;$B$5+$B$4,-LOOKUP($A30,Cot_droits!$A$17:$A$68,Cot_droits!$Q$17:$Q$68)/LOOKUP($A30,Barèmes!$A$65:$A$148,Barèmes!$G$65:$G$148),IF(AND($A30&gt;=$B$5+$B$4,$A30&lt;=INT($B$8)-1+$B$4),LOOKUP($A30,Retraite!$A$7:$A$47,Retraite!N$7:$N$47)/LOOKUP($A30,Barèmes!$A$65:$A$148,Barèmes!$G$65:$G$148),IF($A30=INT($B$8+$B$4),(LOOKUP($A30,Retraite!$A$7:$A$47,Retraite!$N$7:$N$47)/LOOKUP($A30,Barèmes!$A$65:$A$148,Barèmes!$G$65:$G$148))*(1-(INT($B$8)+1-$B$8)),0)))</f>
        <v>-8737.5292892606649</v>
      </c>
      <c r="D30" s="115"/>
      <c r="E30" s="131">
        <f>IF($A30&lt;$B$5+$B$4,-(LOOKUP($A30,Cot_droits!$A$17:$A$68,Cot_droits!$H$17:$H$68)+LOOKUP($A30,Cot_droits!$A$17:$A$68,Cot_droits!$L$17:$L$68))/LOOKUP($A30,Barèmes!$A$65:$A$148,Barèmes!$G$65:$G$148),IF(AND($A30&gt;=$B$5+$B$4,$A30&lt;=INT($B$8)-1+$B$4),LOOKUP($A30,Retraite!$A$7:$A$47,Retraite!$L$7:$L$47)/LOOKUP($A30,Barèmes!$A$65:$A$148,Barèmes!$G$65:$G$148),IF($A30=INT($B$8+$B$4),(LOOKUP($A30,Retraite!$A$7:$A$47,Retraite!$L$7:$L$47)/LOOKUP($A30,Barèmes!$A$65:$A$148,Barèmes!$G$65:$G$148))*(1-(INT($B$8)+1-$B$8)),0)))</f>
        <v>-5584.0406453653341</v>
      </c>
      <c r="F30" s="121">
        <f>IF($A30&lt;$B$5+$B$4,-(LOOKUP($A30,Cot_droits!$A$17:$A$68,Cot_droits!$H$17:$H$68)+LOOKUP($A30,Cot_droits!$A$17:$A$68,Cot_droits!$L$17:$L$68))/LOOKUP($A30,Barèmes!$A$65:$A$148,Barèmes!$G$65:$G$148),IF(AND($A30&gt;=$B$5+$B$4,$A30&lt;=INT($B$8)-1+$B$4),LOOKUP($A30,Retraite!$A$7:$A$47,Retraite!$P$7:P$47)/LOOKUP($A30,Barèmes!$A$65:$A$148,Barèmes!$G$65:$G$148),IF($A30=INT($B$8+$B$4),(LOOKUP($A30,Retraite!$A$7:$A$47,Retraite!$P$7:$P$47)/LOOKUP($A30,Barèmes!$A$65:$A$148,Barèmes!$G$65:$G$148))*(1-(INT($B$8)+1-$B$8)),0)))</f>
        <v>-5584.0406453653341</v>
      </c>
      <c r="H30" s="131">
        <f>IF($A30&lt;$B$5+$B$4,-(LOOKUP($A30,Cot_droits!$A$17:$A$68,Cot_droits!$I$17:$I$68)+LOOKUP($A30,Cot_droits!$A$17:$A$68,Cot_droits!$J$17:$J$68)+LOOKUP($A30,Cot_droits!$A$17:$A$68,Cot_droits!$N$17:$N$68))/LOOKUP($A30,Barèmes!$A$65:$A$148,Barèmes!$G$65:$G$148),IF(AND($A30&gt;=$B$5+$B$4,$A30&lt;=INT($B$8)-1+$B$4),LOOKUP($A30,Retraite!$A$7:$A$47,Retraite!$M$7:$M$47)/LOOKUP($A30,Barèmes!$A$65:$A$148,Barèmes!$G$65:$G$148),IF($A30=INT($B$8+$B$4),(LOOKUP($A30,Retraite!$A$7:$A$47,Retraite!$M$7:$M$47)/LOOKUP($A30,Barèmes!$A$65:$A$148,Barèmes!$G$65:$G$148))*(1-(INT($B$8)+1-$B$8)),0)))</f>
        <v>-3153.4886438953304</v>
      </c>
      <c r="I30" s="121">
        <f>IF($A30&lt;$B$5+$B$4,-(LOOKUP($A30,Cot_droits!$A$17:$A$68,Cot_droits!$I$17:$I$68)+LOOKUP($A30,Cot_droits!$A$17:$A$68,Cot_droits!$J$17:$J$68)+LOOKUP($A30,Cot_droits!$A$17:$A$68,Cot_droits!$N$17:$N$68))/LOOKUP($A30,Barèmes!$A$65:$A$148,Barèmes!$G$65:$G$148),IF(AND($A30&gt;=$B$5+$B$4,$A30&lt;=INT($B$8)-1+$B$4),LOOKUP($A30,Retraite!$A$7:$A$47,Retraite!$Q$7:Q$47)/LOOKUP($A30,Barèmes!$A$65:$A$148,Barèmes!$G$65:$G$148),IF($A30=INT($B$8+$B$4),(LOOKUP($A30,Retraite!$A$7:$A$47,Retraite!$Q$7:$Q$47)/LOOKUP($A30,Barèmes!$A$65:$A$148,Barèmes!$G$65:$G$148))*(1-(INT($B$8)+1-$B$8)),0)))</f>
        <v>-3153.4886438953304</v>
      </c>
      <c r="J30" s="115"/>
    </row>
    <row r="31" spans="1:12" s="43" customFormat="1" ht="15.75" customHeight="1" x14ac:dyDescent="0.25">
      <c r="A31" s="125">
        <f t="shared" si="0"/>
        <v>2036</v>
      </c>
      <c r="B31" s="131">
        <f>IF($A31&lt;$B$5+$B$4,-LOOKUP($A31,Cot_droits!$A$17:$A$68,Cot_droits!$Q$17:$Q$68)/LOOKUP($A31,Barèmes!$A$65:$A$148,Barèmes!$G$65:$G$148),IF(AND($A31&gt;=$B$5+$B$4,$A31&lt;=INT($B$8)+$B$4-1),LOOKUP($A31,Retraite!$A$7:$A$47,Retraite!$K$7:$K$47)/LOOKUP($A31,Barèmes!$A$65:$A$148,Barèmes!$G$65:$G$148),IF($A31=INT($B$8+$B$4),(LOOKUP($A31,Retraite!$A$7:$A$47,Retraite!$K$7:$K$47)/LOOKUP($A31,Barèmes!$A$65:$A$148,Barèmes!$G$65:$G$148))*(1-(INT($B$8+1)-$B$8)),0)))</f>
        <v>-8791.1366545664205</v>
      </c>
      <c r="C31" s="121">
        <f>IF($A31&lt;$B$5+$B$4,-LOOKUP($A31,Cot_droits!$A$17:$A$68,Cot_droits!$Q$17:$Q$68)/LOOKUP($A31,Barèmes!$A$65:$A$148,Barèmes!$G$65:$G$148),IF(AND($A31&gt;=$B$5+$B$4,$A31&lt;=INT($B$8)-1+$B$4),LOOKUP($A31,Retraite!$A$7:$A$47,Retraite!N$7:$N$47)/LOOKUP($A31,Barèmes!$A$65:$A$148,Barèmes!$G$65:$G$148),IF($A31=INT($B$8+$B$4),(LOOKUP($A31,Retraite!$A$7:$A$47,Retraite!$N$7:$N$47)/LOOKUP($A31,Barèmes!$A$65:$A$148,Barèmes!$G$65:$G$148))*(1-(INT($B$8)+1-$B$8)),0)))</f>
        <v>-8791.1366545664205</v>
      </c>
      <c r="D31" s="115"/>
      <c r="E31" s="131">
        <f>IF($A31&lt;$B$5+$B$4,-(LOOKUP($A31,Cot_droits!$A$17:$A$68,Cot_droits!$H$17:$H$68)+LOOKUP($A31,Cot_droits!$A$17:$A$68,Cot_droits!$L$17:$L$68))/LOOKUP($A31,Barèmes!$A$65:$A$148,Barèmes!$G$65:$G$148),IF(AND($A31&gt;=$B$5+$B$4,$A31&lt;=INT($B$8)-1+$B$4),LOOKUP($A31,Retraite!$A$7:$A$47,Retraite!$L$7:$L$47)/LOOKUP($A31,Barèmes!$A$65:$A$148,Barèmes!$G$65:$G$148),IF($A31=INT($B$8+$B$4),(LOOKUP($A31,Retraite!$A$7:$A$47,Retraite!$L$7:$L$47)/LOOKUP($A31,Barèmes!$A$65:$A$148,Barèmes!$G$65:$G$148))*(1-(INT($B$8)+1-$B$8)),0)))</f>
        <v>-5618.3004111238561</v>
      </c>
      <c r="F31" s="121">
        <f>IF($A31&lt;$B$5+$B$4,-(LOOKUP($A31,Cot_droits!$A$17:$A$68,Cot_droits!$H$17:$H$68)+LOOKUP($A31,Cot_droits!$A$17:$A$68,Cot_droits!$L$17:$L$68))/LOOKUP($A31,Barèmes!$A$65:$A$148,Barèmes!$G$65:$G$148),IF(AND($A31&gt;=$B$5+$B$4,$A31&lt;=INT($B$8)-1+$B$4),LOOKUP($A31,Retraite!$A$7:$A$47,Retraite!$P$7:P$47)/LOOKUP($A31,Barèmes!$A$65:$A$148,Barèmes!$G$65:$G$148),IF($A31=INT($B$8+$B$4),(LOOKUP($A31,Retraite!$A$7:$A$47,Retraite!$P$7:$P$47)/LOOKUP($A31,Barèmes!$A$65:$A$148,Barèmes!$G$65:$G$148))*(1-(INT($B$8)+1-$B$8)),0)))</f>
        <v>-5618.3004111238561</v>
      </c>
      <c r="H31" s="131">
        <f>IF($A31&lt;$B$5+$B$4,-(LOOKUP($A31,Cot_droits!$A$17:$A$68,Cot_droits!$I$17:$I$68)+LOOKUP($A31,Cot_droits!$A$17:$A$68,Cot_droits!$J$17:$J$68)+LOOKUP($A31,Cot_droits!$A$17:$A$68,Cot_droits!$N$17:$N$68))/LOOKUP($A31,Barèmes!$A$65:$A$148,Barèmes!$G$65:$G$148),IF(AND($A31&gt;=$B$5+$B$4,$A31&lt;=INT($B$8)-1+$B$4),LOOKUP($A31,Retraite!$A$7:$A$47,Retraite!$M$7:$M$47)/LOOKUP($A31,Barèmes!$A$65:$A$148,Barèmes!$G$65:$G$148),IF($A31=INT($B$8+$B$4),(LOOKUP($A31,Retraite!$A$7:$A$47,Retraite!$M$7:$M$47)/LOOKUP($A31,Barèmes!$A$65:$A$148,Barèmes!$G$65:$G$148))*(1-(INT($B$8)+1-$B$8)),0)))</f>
        <v>-3172.8362434425653</v>
      </c>
      <c r="I31" s="121">
        <f>IF($A31&lt;$B$5+$B$4,-(LOOKUP($A31,Cot_droits!$A$17:$A$68,Cot_droits!$I$17:$I$68)+LOOKUP($A31,Cot_droits!$A$17:$A$68,Cot_droits!$J$17:$J$68)+LOOKUP($A31,Cot_droits!$A$17:$A$68,Cot_droits!$N$17:$N$68))/LOOKUP($A31,Barèmes!$A$65:$A$148,Barèmes!$G$65:$G$148),IF(AND($A31&gt;=$B$5+$B$4,$A31&lt;=INT($B$8)-1+$B$4),LOOKUP($A31,Retraite!$A$7:$A$47,Retraite!$Q$7:Q$47)/LOOKUP($A31,Barèmes!$A$65:$A$148,Barèmes!$G$65:$G$148),IF($A31=INT($B$8+$B$4),(LOOKUP($A31,Retraite!$A$7:$A$47,Retraite!$Q$7:$Q$47)/LOOKUP($A31,Barèmes!$A$65:$A$148,Barèmes!$G$65:$G$148))*(1-(INT($B$8)+1-$B$8)),0)))</f>
        <v>-3172.8362434425653</v>
      </c>
      <c r="J31" s="115"/>
    </row>
    <row r="32" spans="1:12" s="43" customFormat="1" ht="15.75" customHeight="1" x14ac:dyDescent="0.25">
      <c r="A32" s="125">
        <f t="shared" si="0"/>
        <v>2037</v>
      </c>
      <c r="B32" s="131">
        <f>IF($A32&lt;$B$5+$B$4,-LOOKUP($A32,Cot_droits!$A$17:$A$68,Cot_droits!$Q$17:$Q$68)/LOOKUP($A32,Barèmes!$A$65:$A$148,Barèmes!$G$65:$G$148),IF(AND($A32&gt;=$B$5+$B$4,$A32&lt;=INT($B$8)+$B$4-1),LOOKUP($A32,Retraite!$A$7:$A$47,Retraite!$K$7:$K$47)/LOOKUP($A32,Barèmes!$A$65:$A$148,Barèmes!$G$65:$G$148),IF($A32=INT($B$8+$B$4),(LOOKUP($A32,Retraite!$A$7:$A$47,Retraite!$K$7:$K$47)/LOOKUP($A32,Barèmes!$A$65:$A$148,Barèmes!$G$65:$G$148))*(1-(INT($B$8+1)-$B$8)),0)))</f>
        <v>-9075.3821249926896</v>
      </c>
      <c r="C32" s="121">
        <f>IF($A32&lt;$B$5+$B$4,-LOOKUP($A32,Cot_droits!$A$17:$A$68,Cot_droits!$Q$17:$Q$68)/LOOKUP($A32,Barèmes!$A$65:$A$148,Barèmes!$G$65:$G$148),IF(AND($A32&gt;=$B$5+$B$4,$A32&lt;=INT($B$8)-1+$B$4),LOOKUP($A32,Retraite!$A$7:$A$47,Retraite!N$7:$N$47)/LOOKUP($A32,Barèmes!$A$65:$A$148,Barèmes!$G$65:$G$148),IF($A32=INT($B$8+$B$4),(LOOKUP($A32,Retraite!$A$7:$A$47,Retraite!$N$7:$N$47)/LOOKUP($A32,Barèmes!$A$65:$A$148,Barèmes!$G$65:$G$148))*(1-(INT($B$8)+1-$B$8)),0)))</f>
        <v>-9075.3821249926896</v>
      </c>
      <c r="D32" s="115"/>
      <c r="E32" s="131">
        <f>IF($A32&lt;$B$5+$B$4,-(LOOKUP($A32,Cot_droits!$A$17:$A$68,Cot_droits!$H$17:$H$68)+LOOKUP($A32,Cot_droits!$A$17:$A$68,Cot_droits!$L$17:$L$68))/LOOKUP($A32,Barèmes!$A$65:$A$148,Barèmes!$G$65:$G$148),IF(AND($A32&gt;=$B$5+$B$4,$A32&lt;=INT($B$8)-1+$B$4),LOOKUP($A32,Retraite!$A$7:$A$47,Retraite!$L$7:$L$47)/LOOKUP($A32,Barèmes!$A$65:$A$148,Barèmes!$G$65:$G$148),IF($A32=INT($B$8+$B$4),(LOOKUP($A32,Retraite!$A$7:$A$47,Retraite!$L$7:$L$47)/LOOKUP($A32,Barèmes!$A$65:$A$148,Barèmes!$G$65:$G$148))*(1-(INT($B$8)+1-$B$8)),0)))</f>
        <v>-5799.9579721545406</v>
      </c>
      <c r="F32" s="121">
        <f>IF($A32&lt;$B$5+$B$4,-(LOOKUP($A32,Cot_droits!$A$17:$A$68,Cot_droits!$H$17:$H$68)+LOOKUP($A32,Cot_droits!$A$17:$A$68,Cot_droits!$L$17:$L$68))/LOOKUP($A32,Barèmes!$A$65:$A$148,Barèmes!$G$65:$G$148),IF(AND($A32&gt;=$B$5+$B$4,$A32&lt;=INT($B$8)-1+$B$4),LOOKUP($A32,Retraite!$A$7:$A$47,Retraite!$P$7:P$47)/LOOKUP($A32,Barèmes!$A$65:$A$148,Barèmes!$G$65:$G$148),IF($A32=INT($B$8+$B$4),(LOOKUP($A32,Retraite!$A$7:$A$47,Retraite!$P$7:$P$47)/LOOKUP($A32,Barèmes!$A$65:$A$148,Barèmes!$G$65:$G$148))*(1-(INT($B$8)+1-$B$8)),0)))</f>
        <v>-5799.9579721545406</v>
      </c>
      <c r="H32" s="131">
        <f>IF($A32&lt;$B$5+$B$4,-(LOOKUP($A32,Cot_droits!$A$17:$A$68,Cot_droits!$I$17:$I$68)+LOOKUP($A32,Cot_droits!$A$17:$A$68,Cot_droits!$J$17:$J$68)+LOOKUP($A32,Cot_droits!$A$17:$A$68,Cot_droits!$N$17:$N$68))/LOOKUP($A32,Barèmes!$A$65:$A$148,Barèmes!$G$65:$G$148),IF(AND($A32&gt;=$B$5+$B$4,$A32&lt;=INT($B$8)-1+$B$4),LOOKUP($A32,Retraite!$A$7:$A$47,Retraite!$M$7:$M$47)/LOOKUP($A32,Barèmes!$A$65:$A$148,Barèmes!$G$65:$G$148),IF($A32=INT($B$8+$B$4),(LOOKUP($A32,Retraite!$A$7:$A$47,Retraite!$M$7:$M$47)/LOOKUP($A32,Barèmes!$A$65:$A$148,Barèmes!$G$65:$G$148))*(1-(INT($B$8)+1-$B$8)),0)))</f>
        <v>-3275.4241528381476</v>
      </c>
      <c r="I32" s="121">
        <f>IF($A32&lt;$B$5+$B$4,-(LOOKUP($A32,Cot_droits!$A$17:$A$68,Cot_droits!$I$17:$I$68)+LOOKUP($A32,Cot_droits!$A$17:$A$68,Cot_droits!$J$17:$J$68)+LOOKUP($A32,Cot_droits!$A$17:$A$68,Cot_droits!$N$17:$N$68))/LOOKUP($A32,Barèmes!$A$65:$A$148,Barèmes!$G$65:$G$148),IF(AND($A32&gt;=$B$5+$B$4,$A32&lt;=INT($B$8)-1+$B$4),LOOKUP($A32,Retraite!$A$7:$A$47,Retraite!$Q$7:Q$47)/LOOKUP($A32,Barèmes!$A$65:$A$148,Barèmes!$G$65:$G$148),IF($A32=INT($B$8+$B$4),(LOOKUP($A32,Retraite!$A$7:$A$47,Retraite!$Q$7:$Q$47)/LOOKUP($A32,Barèmes!$A$65:$A$148,Barèmes!$G$65:$G$148))*(1-(INT($B$8)+1-$B$8)),0)))</f>
        <v>-3275.4241528381476</v>
      </c>
      <c r="J32" s="115"/>
    </row>
    <row r="33" spans="1:10" s="43" customFormat="1" ht="15.75" customHeight="1" x14ac:dyDescent="0.25">
      <c r="A33" s="125">
        <f t="shared" si="0"/>
        <v>2038</v>
      </c>
      <c r="B33" s="131">
        <f>IF($A33&lt;$B$5+$B$4,-LOOKUP($A33,Cot_droits!$A$17:$A$68,Cot_droits!$Q$17:$Q$68)/LOOKUP($A33,Barèmes!$A$65:$A$148,Barèmes!$G$65:$G$148),IF(AND($A33&gt;=$B$5+$B$4,$A33&lt;=INT($B$8)+$B$4-1),LOOKUP($A33,Retraite!$A$7:$A$47,Retraite!$K$7:$K$47)/LOOKUP($A33,Barèmes!$A$65:$A$148,Barèmes!$G$65:$G$148),IF($A33=INT($B$8+$B$4),(LOOKUP($A33,Retraite!$A$7:$A$47,Retraite!$K$7:$K$47)/LOOKUP($A33,Barèmes!$A$65:$A$148,Barèmes!$G$65:$G$148))*(1-(INT($B$8+1)-$B$8)),0)))</f>
        <v>-9101.5279615801246</v>
      </c>
      <c r="C33" s="121">
        <f>IF($A33&lt;$B$5+$B$4,-LOOKUP($A33,Cot_droits!$A$17:$A$68,Cot_droits!$Q$17:$Q$68)/LOOKUP($A33,Barèmes!$A$65:$A$148,Barèmes!$G$65:$G$148),IF(AND($A33&gt;=$B$5+$B$4,$A33&lt;=INT($B$8)-1+$B$4),LOOKUP($A33,Retraite!$A$7:$A$47,Retraite!N$7:$N$47)/LOOKUP($A33,Barèmes!$A$65:$A$148,Barèmes!$G$65:$G$148),IF($A33=INT($B$8+$B$4),(LOOKUP($A33,Retraite!$A$7:$A$47,Retraite!$N$7:$N$47)/LOOKUP($A33,Barèmes!$A$65:$A$148,Barèmes!$G$65:$G$148))*(1-(INT($B$8)+1-$B$8)),0)))</f>
        <v>-9101.5279615801246</v>
      </c>
      <c r="D33" s="115"/>
      <c r="E33" s="131">
        <f>IF($A33&lt;$B$5+$B$4,-(LOOKUP($A33,Cot_droits!$A$17:$A$68,Cot_droits!$H$17:$H$68)+LOOKUP($A33,Cot_droits!$A$17:$A$68,Cot_droits!$L$17:$L$68))/LOOKUP($A33,Barèmes!$A$65:$A$148,Barèmes!$G$65:$G$148),IF(AND($A33&gt;=$B$5+$B$4,$A33&lt;=INT($B$8)-1+$B$4),LOOKUP($A33,Retraite!$A$7:$A$47,Retraite!$L$7:$L$47)/LOOKUP($A33,Barèmes!$A$65:$A$148,Barèmes!$G$65:$G$148),IF($A33=INT($B$8+$B$4),(LOOKUP($A33,Retraite!$A$7:$A$47,Retraite!$L$7:$L$47)/LOOKUP($A33,Barèmes!$A$65:$A$148,Barèmes!$G$65:$G$148))*(1-(INT($B$8)+1-$B$8)),0)))</f>
        <v>-5816.6674342207534</v>
      </c>
      <c r="F33" s="121">
        <f>IF($A33&lt;$B$5+$B$4,-(LOOKUP($A33,Cot_droits!$A$17:$A$68,Cot_droits!$H$17:$H$68)+LOOKUP($A33,Cot_droits!$A$17:$A$68,Cot_droits!$L$17:$L$68))/LOOKUP($A33,Barèmes!$A$65:$A$148,Barèmes!$G$65:$G$148),IF(AND($A33&gt;=$B$5+$B$4,$A33&lt;=INT($B$8)-1+$B$4),LOOKUP($A33,Retraite!$A$7:$A$47,Retraite!$P$7:P$47)/LOOKUP($A33,Barèmes!$A$65:$A$148,Barèmes!$G$65:$G$148),IF($A33=INT($B$8+$B$4),(LOOKUP($A33,Retraite!$A$7:$A$47,Retraite!$P$7:$P$47)/LOOKUP($A33,Barèmes!$A$65:$A$148,Barèmes!$G$65:$G$148))*(1-(INT($B$8)+1-$B$8)),0)))</f>
        <v>-5816.6674342207534</v>
      </c>
      <c r="H33" s="131">
        <f>IF($A33&lt;$B$5+$B$4,-(LOOKUP($A33,Cot_droits!$A$17:$A$68,Cot_droits!$I$17:$I$68)+LOOKUP($A33,Cot_droits!$A$17:$A$68,Cot_droits!$J$17:$J$68)+LOOKUP($A33,Cot_droits!$A$17:$A$68,Cot_droits!$N$17:$N$68))/LOOKUP($A33,Barèmes!$A$65:$A$148,Barèmes!$G$65:$G$148),IF(AND($A33&gt;=$B$5+$B$4,$A33&lt;=INT($B$8)-1+$B$4),LOOKUP($A33,Retraite!$A$7:$A$47,Retraite!$M$7:$M$47)/LOOKUP($A33,Barèmes!$A$65:$A$148,Barèmes!$G$65:$G$148),IF($A33=INT($B$8+$B$4),(LOOKUP($A33,Retraite!$A$7:$A$47,Retraite!$M$7:$M$47)/LOOKUP($A33,Barèmes!$A$65:$A$148,Barèmes!$G$65:$G$148))*(1-(INT($B$8)+1-$B$8)),0)))</f>
        <v>-3284.8605273593707</v>
      </c>
      <c r="I33" s="121">
        <f>IF($A33&lt;$B$5+$B$4,-(LOOKUP($A33,Cot_droits!$A$17:$A$68,Cot_droits!$I$17:$I$68)+LOOKUP($A33,Cot_droits!$A$17:$A$68,Cot_droits!$J$17:$J$68)+LOOKUP($A33,Cot_droits!$A$17:$A$68,Cot_droits!$N$17:$N$68))/LOOKUP($A33,Barèmes!$A$65:$A$148,Barèmes!$G$65:$G$148),IF(AND($A33&gt;=$B$5+$B$4,$A33&lt;=INT($B$8)-1+$B$4),LOOKUP($A33,Retraite!$A$7:$A$47,Retraite!$Q$7:Q$47)/LOOKUP($A33,Barèmes!$A$65:$A$148,Barèmes!$G$65:$G$148),IF($A33=INT($B$8+$B$4),(LOOKUP($A33,Retraite!$A$7:$A$47,Retraite!$Q$7:$Q$47)/LOOKUP($A33,Barèmes!$A$65:$A$148,Barèmes!$G$65:$G$148))*(1-(INT($B$8)+1-$B$8)),0)))</f>
        <v>-3284.8605273593707</v>
      </c>
      <c r="J33" s="115"/>
    </row>
    <row r="34" spans="1:10" s="43" customFormat="1" ht="15.75" customHeight="1" x14ac:dyDescent="0.25">
      <c r="A34" s="125">
        <f t="shared" si="0"/>
        <v>2039</v>
      </c>
      <c r="B34" s="131">
        <f>IF($A34&lt;$B$5+$B$4,-LOOKUP($A34,Cot_droits!$A$17:$A$68,Cot_droits!$Q$17:$Q$68)/LOOKUP($A34,Barèmes!$A$65:$A$148,Barèmes!$G$65:$G$148),IF(AND($A34&gt;=$B$5+$B$4,$A34&lt;=INT($B$8)+$B$4-1),LOOKUP($A34,Retraite!$A$7:$A$47,Retraite!$K$7:$K$47)/LOOKUP($A34,Barèmes!$A$65:$A$148,Barèmes!$G$65:$G$148),IF($A34=INT($B$8+$B$4),(LOOKUP($A34,Retraite!$A$7:$A$47,Retraite!$K$7:$K$47)/LOOKUP($A34,Barèmes!$A$65:$A$148,Barèmes!$G$65:$G$148))*(1-(INT($B$8+1)-$B$8)),0)))</f>
        <v>-9396.4948216114462</v>
      </c>
      <c r="C34" s="121">
        <f>IF($A34&lt;$B$5+$B$4,-LOOKUP($A34,Cot_droits!$A$17:$A$68,Cot_droits!$Q$17:$Q$68)/LOOKUP($A34,Barèmes!$A$65:$A$148,Barèmes!$G$65:$G$148),IF(AND($A34&gt;=$B$5+$B$4,$A34&lt;=INT($B$8)-1+$B$4),LOOKUP($A34,Retraite!$A$7:$A$47,Retraite!N$7:$N$47)/LOOKUP($A34,Barèmes!$A$65:$A$148,Barèmes!$G$65:$G$148),IF($A34=INT($B$8+$B$4),(LOOKUP($A34,Retraite!$A$7:$A$47,Retraite!$N$7:$N$47)/LOOKUP($A34,Barèmes!$A$65:$A$148,Barèmes!$G$65:$G$148))*(1-(INT($B$8)+1-$B$8)),0)))</f>
        <v>-9396.4948216114462</v>
      </c>
      <c r="D34" s="115"/>
      <c r="E34" s="131">
        <f>IF($A34&lt;$B$5+$B$4,-(LOOKUP($A34,Cot_droits!$A$17:$A$68,Cot_droits!$H$17:$H$68)+LOOKUP($A34,Cot_droits!$A$17:$A$68,Cot_droits!$L$17:$L$68))/LOOKUP($A34,Barèmes!$A$65:$A$148,Barèmes!$G$65:$G$148),IF(AND($A34&gt;=$B$5+$B$4,$A34&lt;=INT($B$8)-1+$B$4),LOOKUP($A34,Retraite!$A$7:$A$47,Retraite!$L$7:$L$47)/LOOKUP($A34,Barèmes!$A$65:$A$148,Barèmes!$G$65:$G$148),IF($A34=INT($B$8+$B$4),(LOOKUP($A34,Retraite!$A$7:$A$47,Retraite!$L$7:$L$47)/LOOKUP($A34,Barèmes!$A$65:$A$148,Barèmes!$G$65:$G$148))*(1-(INT($B$8)+1-$B$8)),0)))</f>
        <v>-6005.1768950674423</v>
      </c>
      <c r="F34" s="121">
        <f>IF($A34&lt;$B$5+$B$4,-(LOOKUP($A34,Cot_droits!$A$17:$A$68,Cot_droits!$H$17:$H$68)+LOOKUP($A34,Cot_droits!$A$17:$A$68,Cot_droits!$L$17:$L$68))/LOOKUP($A34,Barèmes!$A$65:$A$148,Barèmes!$G$65:$G$148),IF(AND($A34&gt;=$B$5+$B$4,$A34&lt;=INT($B$8)-1+$B$4),LOOKUP($A34,Retraite!$A$7:$A$47,Retraite!$P$7:P$47)/LOOKUP($A34,Barèmes!$A$65:$A$148,Barèmes!$G$65:$G$148),IF($A34=INT($B$8+$B$4),(LOOKUP($A34,Retraite!$A$7:$A$47,Retraite!$P$7:$P$47)/LOOKUP($A34,Barèmes!$A$65:$A$148,Barèmes!$G$65:$G$148))*(1-(INT($B$8)+1-$B$8)),0)))</f>
        <v>-6005.1768950674423</v>
      </c>
      <c r="H34" s="131">
        <f>IF($A34&lt;$B$5+$B$4,-(LOOKUP($A34,Cot_droits!$A$17:$A$68,Cot_droits!$I$17:$I$68)+LOOKUP($A34,Cot_droits!$A$17:$A$68,Cot_droits!$J$17:$J$68)+LOOKUP($A34,Cot_droits!$A$17:$A$68,Cot_droits!$N$17:$N$68))/LOOKUP($A34,Barèmes!$A$65:$A$148,Barèmes!$G$65:$G$148),IF(AND($A34&gt;=$B$5+$B$4,$A34&lt;=INT($B$8)-1+$B$4),LOOKUP($A34,Retraite!$A$7:$A$47,Retraite!$M$7:$M$47)/LOOKUP($A34,Barèmes!$A$65:$A$148,Barèmes!$G$65:$G$148),IF($A34=INT($B$8+$B$4),(LOOKUP($A34,Retraite!$A$7:$A$47,Retraite!$M$7:$M$47)/LOOKUP($A34,Barèmes!$A$65:$A$148,Barèmes!$G$65:$G$148))*(1-(INT($B$8)+1-$B$8)),0)))</f>
        <v>-3391.3179265440031</v>
      </c>
      <c r="I34" s="121">
        <f>IF($A34&lt;$B$5+$B$4,-(LOOKUP($A34,Cot_droits!$A$17:$A$68,Cot_droits!$I$17:$I$68)+LOOKUP($A34,Cot_droits!$A$17:$A$68,Cot_droits!$J$17:$J$68)+LOOKUP($A34,Cot_droits!$A$17:$A$68,Cot_droits!$N$17:$N$68))/LOOKUP($A34,Barèmes!$A$65:$A$148,Barèmes!$G$65:$G$148),IF(AND($A34&gt;=$B$5+$B$4,$A34&lt;=INT($B$8)-1+$B$4),LOOKUP($A34,Retraite!$A$7:$A$47,Retraite!$Q$7:Q$47)/LOOKUP($A34,Barèmes!$A$65:$A$148,Barèmes!$G$65:$G$148),IF($A34=INT($B$8+$B$4),(LOOKUP($A34,Retraite!$A$7:$A$47,Retraite!$Q$7:$Q$47)/LOOKUP($A34,Barèmes!$A$65:$A$148,Barèmes!$G$65:$G$148))*(1-(INT($B$8)+1-$B$8)),0)))</f>
        <v>-3391.3179265440031</v>
      </c>
      <c r="J34" s="115"/>
    </row>
    <row r="35" spans="1:10" s="43" customFormat="1" ht="15.75" customHeight="1" x14ac:dyDescent="0.25">
      <c r="A35" s="125">
        <f t="shared" si="0"/>
        <v>2040</v>
      </c>
      <c r="B35" s="131">
        <f>IF($A35&lt;$B$5+$B$4,-LOOKUP($A35,Cot_droits!$A$17:$A$68,Cot_droits!$Q$17:$Q$68)/LOOKUP($A35,Barèmes!$A$65:$A$148,Barèmes!$G$65:$G$148),IF(AND($A35&gt;=$B$5+$B$4,$A35&lt;=INT($B$8)+$B$4-1),LOOKUP($A35,Retraite!$A$7:$A$47,Retraite!$K$7:$K$47)/LOOKUP($A35,Barèmes!$A$65:$A$148,Barèmes!$G$65:$G$148),IF($A35=INT($B$8+$B$4),(LOOKUP($A35,Retraite!$A$7:$A$47,Retraite!$K$7:$K$47)/LOOKUP($A35,Barèmes!$A$65:$A$148,Barèmes!$G$65:$G$148))*(1-(INT($B$8+1)-$B$8)),0)))</f>
        <v>-9343.4389004981622</v>
      </c>
      <c r="C35" s="121">
        <f>IF($A35&lt;$B$5+$B$4,-LOOKUP($A35,Cot_droits!$A$17:$A$68,Cot_droits!$Q$17:$Q$68)/LOOKUP($A35,Barèmes!$A$65:$A$148,Barèmes!$G$65:$G$148),IF(AND($A35&gt;=$B$5+$B$4,$A35&lt;=INT($B$8)-1+$B$4),LOOKUP($A35,Retraite!$A$7:$A$47,Retraite!N$7:$N$47)/LOOKUP($A35,Barèmes!$A$65:$A$148,Barèmes!$G$65:$G$148),IF($A35=INT($B$8+$B$4),(LOOKUP($A35,Retraite!$A$7:$A$47,Retraite!$N$7:$N$47)/LOOKUP($A35,Barèmes!$A$65:$A$148,Barèmes!$G$65:$G$148))*(1-(INT($B$8)+1-$B$8)),0)))</f>
        <v>-9343.4389004981622</v>
      </c>
      <c r="D35" s="115"/>
      <c r="E35" s="131">
        <f>IF($A35&lt;$B$5+$B$4,-(LOOKUP($A35,Cot_droits!$A$17:$A$68,Cot_droits!$H$17:$H$68)+LOOKUP($A35,Cot_droits!$A$17:$A$68,Cot_droits!$L$17:$L$68))/LOOKUP($A35,Barèmes!$A$65:$A$148,Barèmes!$G$65:$G$148),IF(AND($A35&gt;=$B$5+$B$4,$A35&lt;=INT($B$8)-1+$B$4),LOOKUP($A35,Retraite!$A$7:$A$47,Retraite!$L$7:$L$47)/LOOKUP($A35,Barèmes!$A$65:$A$148,Barèmes!$G$65:$G$148),IF($A35=INT($B$8+$B$4),(LOOKUP($A35,Retraite!$A$7:$A$47,Retraite!$L$7:$L$47)/LOOKUP($A35,Barèmes!$A$65:$A$148,Barèmes!$G$65:$G$148))*(1-(INT($B$8)+1-$B$8)),0)))</f>
        <v>-5971.269550077137</v>
      </c>
      <c r="F35" s="121">
        <f>IF($A35&lt;$B$5+$B$4,-(LOOKUP($A35,Cot_droits!$A$17:$A$68,Cot_droits!$H$17:$H$68)+LOOKUP($A35,Cot_droits!$A$17:$A$68,Cot_droits!$L$17:$L$68))/LOOKUP($A35,Barèmes!$A$65:$A$148,Barèmes!$G$65:$G$148),IF(AND($A35&gt;=$B$5+$B$4,$A35&lt;=INT($B$8)-1+$B$4),LOOKUP($A35,Retraite!$A$7:$A$47,Retraite!$P$7:P$47)/LOOKUP($A35,Barèmes!$A$65:$A$148,Barèmes!$G$65:$G$148),IF($A35=INT($B$8+$B$4),(LOOKUP($A35,Retraite!$A$7:$A$47,Retraite!$P$7:$P$47)/LOOKUP($A35,Barèmes!$A$65:$A$148,Barèmes!$G$65:$G$148))*(1-(INT($B$8)+1-$B$8)),0)))</f>
        <v>-5971.269550077137</v>
      </c>
      <c r="H35" s="131">
        <f>IF($A35&lt;$B$5+$B$4,-(LOOKUP($A35,Cot_droits!$A$17:$A$68,Cot_droits!$I$17:$I$68)+LOOKUP($A35,Cot_droits!$A$17:$A$68,Cot_droits!$J$17:$J$68)+LOOKUP($A35,Cot_droits!$A$17:$A$68,Cot_droits!$N$17:$N$68))/LOOKUP($A35,Barèmes!$A$65:$A$148,Barèmes!$G$65:$G$148),IF(AND($A35&gt;=$B$5+$B$4,$A35&lt;=INT($B$8)-1+$B$4),LOOKUP($A35,Retraite!$A$7:$A$47,Retraite!$M$7:$M$47)/LOOKUP($A35,Barèmes!$A$65:$A$148,Barèmes!$G$65:$G$148),IF($A35=INT($B$8+$B$4),(LOOKUP($A35,Retraite!$A$7:$A$47,Retraite!$M$7:$M$47)/LOOKUP($A35,Barèmes!$A$65:$A$148,Barèmes!$G$65:$G$148))*(1-(INT($B$8)+1-$B$8)),0)))</f>
        <v>-3372.1693504210261</v>
      </c>
      <c r="I35" s="121">
        <f>IF($A35&lt;$B$5+$B$4,-(LOOKUP($A35,Cot_droits!$A$17:$A$68,Cot_droits!$I$17:$I$68)+LOOKUP($A35,Cot_droits!$A$17:$A$68,Cot_droits!$J$17:$J$68)+LOOKUP($A35,Cot_droits!$A$17:$A$68,Cot_droits!$N$17:$N$68))/LOOKUP($A35,Barèmes!$A$65:$A$148,Barèmes!$G$65:$G$148),IF(AND($A35&gt;=$B$5+$B$4,$A35&lt;=INT($B$8)-1+$B$4),LOOKUP($A35,Retraite!$A$7:$A$47,Retraite!$Q$7:Q$47)/LOOKUP($A35,Barèmes!$A$65:$A$148,Barèmes!$G$65:$G$148),IF($A35=INT($B$8+$B$4),(LOOKUP($A35,Retraite!$A$7:$A$47,Retraite!$Q$7:$Q$47)/LOOKUP($A35,Barèmes!$A$65:$A$148,Barèmes!$G$65:$G$148))*(1-(INT($B$8)+1-$B$8)),0)))</f>
        <v>-3372.1693504210261</v>
      </c>
      <c r="J35" s="115"/>
    </row>
    <row r="36" spans="1:10" s="43" customFormat="1" ht="15.75" customHeight="1" x14ac:dyDescent="0.25">
      <c r="A36" s="125">
        <f t="shared" si="0"/>
        <v>2041</v>
      </c>
      <c r="B36" s="131">
        <f>IF($A36&lt;$B$5+$B$4,-LOOKUP($A36,Cot_droits!$A$17:$A$68,Cot_droits!$Q$17:$Q$68)/LOOKUP($A36,Barèmes!$A$65:$A$148,Barèmes!$G$65:$G$148),IF(AND($A36&gt;=$B$5+$B$4,$A36&lt;=INT($B$8)+$B$4-1),LOOKUP($A36,Retraite!$A$7:$A$47,Retraite!$K$7:$K$47)/LOOKUP($A36,Barèmes!$A$65:$A$148,Barèmes!$G$65:$G$148),IF($A36=INT($B$8+$B$4),(LOOKUP($A36,Retraite!$A$7:$A$47,Retraite!$K$7:$K$47)/LOOKUP($A36,Barèmes!$A$65:$A$148,Barèmes!$G$65:$G$148))*(1-(INT($B$8+1)-$B$8)),0)))</f>
        <v>-9417.4974175030493</v>
      </c>
      <c r="C36" s="121">
        <f>IF($A36&lt;$B$5+$B$4,-LOOKUP($A36,Cot_droits!$A$17:$A$68,Cot_droits!$Q$17:$Q$68)/LOOKUP($A36,Barèmes!$A$65:$A$148,Barèmes!$G$65:$G$148),IF(AND($A36&gt;=$B$5+$B$4,$A36&lt;=INT($B$8)-1+$B$4),LOOKUP($A36,Retraite!$A$7:$A$47,Retraite!N$7:$N$47)/LOOKUP($A36,Barèmes!$A$65:$A$148,Barèmes!$G$65:$G$148),IF($A36=INT($B$8+$B$4),(LOOKUP($A36,Retraite!$A$7:$A$47,Retraite!$N$7:$N$47)/LOOKUP($A36,Barèmes!$A$65:$A$148,Barèmes!$G$65:$G$148))*(1-(INT($B$8)+1-$B$8)),0)))</f>
        <v>-9417.4974175030493</v>
      </c>
      <c r="D36" s="115"/>
      <c r="E36" s="131">
        <f>IF($A36&lt;$B$5+$B$4,-(LOOKUP($A36,Cot_droits!$A$17:$A$68,Cot_droits!$H$17:$H$68)+LOOKUP($A36,Cot_droits!$A$17:$A$68,Cot_droits!$L$17:$L$68))/LOOKUP($A36,Barèmes!$A$65:$A$148,Barèmes!$G$65:$G$148),IF(AND($A36&gt;=$B$5+$B$4,$A36&lt;=INT($B$8)-1+$B$4),LOOKUP($A36,Retraite!$A$7:$A$47,Retraite!$L$7:$L$47)/LOOKUP($A36,Barèmes!$A$65:$A$148,Barèmes!$G$65:$G$148),IF($A36=INT($B$8+$B$4),(LOOKUP($A36,Retraite!$A$7:$A$47,Retraite!$L$7:$L$47)/LOOKUP($A36,Barèmes!$A$65:$A$148,Barèmes!$G$65:$G$148))*(1-(INT($B$8)+1-$B$8)),0)))</f>
        <v>-6018.5993793000325</v>
      </c>
      <c r="F36" s="121">
        <f>IF($A36&lt;$B$5+$B$4,-(LOOKUP($A36,Cot_droits!$A$17:$A$68,Cot_droits!$H$17:$H$68)+LOOKUP($A36,Cot_droits!$A$17:$A$68,Cot_droits!$L$17:$L$68))/LOOKUP($A36,Barèmes!$A$65:$A$148,Barèmes!$G$65:$G$148),IF(AND($A36&gt;=$B$5+$B$4,$A36&lt;=INT($B$8)-1+$B$4),LOOKUP($A36,Retraite!$A$7:$A$47,Retraite!$P$7:P$47)/LOOKUP($A36,Barèmes!$A$65:$A$148,Barèmes!$G$65:$G$148),IF($A36=INT($B$8+$B$4),(LOOKUP($A36,Retraite!$A$7:$A$47,Retraite!$P$7:$P$47)/LOOKUP($A36,Barèmes!$A$65:$A$148,Barèmes!$G$65:$G$148))*(1-(INT($B$8)+1-$B$8)),0)))</f>
        <v>-6018.5993793000325</v>
      </c>
      <c r="H36" s="131">
        <f>IF($A36&lt;$B$5+$B$4,-(LOOKUP($A36,Cot_droits!$A$17:$A$68,Cot_droits!$I$17:$I$68)+LOOKUP($A36,Cot_droits!$A$17:$A$68,Cot_droits!$J$17:$J$68)+LOOKUP($A36,Cot_droits!$A$17:$A$68,Cot_droits!$N$17:$N$68))/LOOKUP($A36,Barèmes!$A$65:$A$148,Barèmes!$G$65:$G$148),IF(AND($A36&gt;=$B$5+$B$4,$A36&lt;=INT($B$8)-1+$B$4),LOOKUP($A36,Retraite!$A$7:$A$47,Retraite!$M$7:$M$47)/LOOKUP($A36,Barèmes!$A$65:$A$148,Barèmes!$G$65:$G$148),IF($A36=INT($B$8+$B$4),(LOOKUP($A36,Retraite!$A$7:$A$47,Retraite!$M$7:$M$47)/LOOKUP($A36,Barèmes!$A$65:$A$148,Barèmes!$G$65:$G$148))*(1-(INT($B$8)+1-$B$8)),0)))</f>
        <v>-3398.8980382030159</v>
      </c>
      <c r="I36" s="121">
        <f>IF($A36&lt;$B$5+$B$4,-(LOOKUP($A36,Cot_droits!$A$17:$A$68,Cot_droits!$I$17:$I$68)+LOOKUP($A36,Cot_droits!$A$17:$A$68,Cot_droits!$J$17:$J$68)+LOOKUP($A36,Cot_droits!$A$17:$A$68,Cot_droits!$N$17:$N$68))/LOOKUP($A36,Barèmes!$A$65:$A$148,Barèmes!$G$65:$G$148),IF(AND($A36&gt;=$B$5+$B$4,$A36&lt;=INT($B$8)-1+$B$4),LOOKUP($A36,Retraite!$A$7:$A$47,Retraite!$Q$7:Q$47)/LOOKUP($A36,Barèmes!$A$65:$A$148,Barèmes!$G$65:$G$148),IF($A36=INT($B$8+$B$4),(LOOKUP($A36,Retraite!$A$7:$A$47,Retraite!$Q$7:$Q$47)/LOOKUP($A36,Barèmes!$A$65:$A$148,Barèmes!$G$65:$G$148))*(1-(INT($B$8)+1-$B$8)),0)))</f>
        <v>-3398.8980382030159</v>
      </c>
      <c r="J36" s="115"/>
    </row>
    <row r="37" spans="1:10" s="43" customFormat="1" ht="15.75" customHeight="1" x14ac:dyDescent="0.25">
      <c r="A37" s="125">
        <f t="shared" si="0"/>
        <v>2042</v>
      </c>
      <c r="B37" s="131">
        <f>IF($A37&lt;$B$5+$B$4,-LOOKUP($A37,Cot_droits!$A$17:$A$68,Cot_droits!$Q$17:$Q$68)/LOOKUP($A37,Barèmes!$A$65:$A$148,Barèmes!$G$65:$G$148),IF(AND($A37&gt;=$B$5+$B$4,$A37&lt;=INT($B$8)+$B$4-1),LOOKUP($A37,Retraite!$A$7:$A$47,Retraite!$K$7:$K$47)/LOOKUP($A37,Barèmes!$A$65:$A$148,Barèmes!$G$65:$G$148),IF($A37=INT($B$8+$B$4),(LOOKUP($A37,Retraite!$A$7:$A$47,Retraite!$K$7:$K$47)/LOOKUP($A37,Barèmes!$A$65:$A$148,Barèmes!$G$65:$G$148))*(1-(INT($B$8+1)-$B$8)),0)))</f>
        <v>-9402.3725124708435</v>
      </c>
      <c r="C37" s="121">
        <f>IF($A37&lt;$B$5+$B$4,-LOOKUP($A37,Cot_droits!$A$17:$A$68,Cot_droits!$Q$17:$Q$68)/LOOKUP($A37,Barèmes!$A$65:$A$148,Barèmes!$G$65:$G$148),IF(AND($A37&gt;=$B$5+$B$4,$A37&lt;=INT($B$8)-1+$B$4),LOOKUP($A37,Retraite!$A$7:$A$47,Retraite!N$7:$N$47)/LOOKUP($A37,Barèmes!$A$65:$A$148,Barèmes!$G$65:$G$148),IF($A37=INT($B$8+$B$4),(LOOKUP($A37,Retraite!$A$7:$A$47,Retraite!$N$7:$N$47)/LOOKUP($A37,Barèmes!$A$65:$A$148,Barèmes!$G$65:$G$148))*(1-(INT($B$8)+1-$B$8)),0)))</f>
        <v>-9402.3725124708435</v>
      </c>
      <c r="D37" s="115"/>
      <c r="E37" s="131">
        <f>IF($A37&lt;$B$5+$B$4,-(LOOKUP($A37,Cot_droits!$A$17:$A$68,Cot_droits!$H$17:$H$68)+LOOKUP($A37,Cot_droits!$A$17:$A$68,Cot_droits!$L$17:$L$68))/LOOKUP($A37,Barèmes!$A$65:$A$148,Barèmes!$G$65:$G$148),IF(AND($A37&gt;=$B$5+$B$4,$A37&lt;=INT($B$8)-1+$B$4),LOOKUP($A37,Retraite!$A$7:$A$47,Retraite!$L$7:$L$47)/LOOKUP($A37,Barèmes!$A$65:$A$148,Barèmes!$G$65:$G$148),IF($A37=INT($B$8+$B$4),(LOOKUP($A37,Retraite!$A$7:$A$47,Retraite!$L$7:$L$47)/LOOKUP($A37,Barèmes!$A$65:$A$148,Barèmes!$G$65:$G$148))*(1-(INT($B$8)+1-$B$8)),0)))</f>
        <v>-6008.9332503909218</v>
      </c>
      <c r="F37" s="121">
        <f>IF($A37&lt;$B$5+$B$4,-(LOOKUP($A37,Cot_droits!$A$17:$A$68,Cot_droits!$H$17:$H$68)+LOOKUP($A37,Cot_droits!$A$17:$A$68,Cot_droits!$L$17:$L$68))/LOOKUP($A37,Barèmes!$A$65:$A$148,Barèmes!$G$65:$G$148),IF(AND($A37&gt;=$B$5+$B$4,$A37&lt;=INT($B$8)-1+$B$4),LOOKUP($A37,Retraite!$A$7:$A$47,Retraite!$P$7:P$47)/LOOKUP($A37,Barèmes!$A$65:$A$148,Barèmes!$G$65:$G$148),IF($A37=INT($B$8+$B$4),(LOOKUP($A37,Retraite!$A$7:$A$47,Retraite!$P$7:$P$47)/LOOKUP($A37,Barèmes!$A$65:$A$148,Barèmes!$G$65:$G$148))*(1-(INT($B$8)+1-$B$8)),0)))</f>
        <v>-6008.9332503909218</v>
      </c>
      <c r="H37" s="131">
        <f>IF($A37&lt;$B$5+$B$4,-(LOOKUP($A37,Cot_droits!$A$17:$A$68,Cot_droits!$I$17:$I$68)+LOOKUP($A37,Cot_droits!$A$17:$A$68,Cot_droits!$J$17:$J$68)+LOOKUP($A37,Cot_droits!$A$17:$A$68,Cot_droits!$N$17:$N$68))/LOOKUP($A37,Barèmes!$A$65:$A$148,Barèmes!$G$65:$G$148),IF(AND($A37&gt;=$B$5+$B$4,$A37&lt;=INT($B$8)-1+$B$4),LOOKUP($A37,Retraite!$A$7:$A$47,Retraite!$M$7:$M$47)/LOOKUP($A37,Barèmes!$A$65:$A$148,Barèmes!$G$65:$G$148),IF($A37=INT($B$8+$B$4),(LOOKUP($A37,Retraite!$A$7:$A$47,Retraite!$M$7:$M$47)/LOOKUP($A37,Barèmes!$A$65:$A$148,Barèmes!$G$65:$G$148))*(1-(INT($B$8)+1-$B$8)),0)))</f>
        <v>-3393.4392620799217</v>
      </c>
      <c r="I37" s="121">
        <f>IF($A37&lt;$B$5+$B$4,-(LOOKUP($A37,Cot_droits!$A$17:$A$68,Cot_droits!$I$17:$I$68)+LOOKUP($A37,Cot_droits!$A$17:$A$68,Cot_droits!$J$17:$J$68)+LOOKUP($A37,Cot_droits!$A$17:$A$68,Cot_droits!$N$17:$N$68))/LOOKUP($A37,Barèmes!$A$65:$A$148,Barèmes!$G$65:$G$148),IF(AND($A37&gt;=$B$5+$B$4,$A37&lt;=INT($B$8)-1+$B$4),LOOKUP($A37,Retraite!$A$7:$A$47,Retraite!$Q$7:Q$47)/LOOKUP($A37,Barèmes!$A$65:$A$148,Barèmes!$G$65:$G$148),IF($A37=INT($B$8+$B$4),(LOOKUP($A37,Retraite!$A$7:$A$47,Retraite!$Q$7:$Q$47)/LOOKUP($A37,Barèmes!$A$65:$A$148,Barèmes!$G$65:$G$148))*(1-(INT($B$8)+1-$B$8)),0)))</f>
        <v>-3393.4392620799217</v>
      </c>
      <c r="J37" s="115"/>
    </row>
    <row r="38" spans="1:10" s="43" customFormat="1" ht="15.75" customHeight="1" x14ac:dyDescent="0.25">
      <c r="A38" s="125">
        <f t="shared" si="0"/>
        <v>2043</v>
      </c>
      <c r="B38" s="131">
        <f>IF($A38&lt;$B$5+$B$4,-LOOKUP($A38,Cot_droits!$A$17:$A$68,Cot_droits!$Q$17:$Q$68)/LOOKUP($A38,Barèmes!$A$65:$A$148,Barèmes!$G$65:$G$148),IF(AND($A38&gt;=$B$5+$B$4,$A38&lt;=INT($B$8)+$B$4-1),LOOKUP($A38,Retraite!$A$7:$A$47,Retraite!$K$7:$K$47)/LOOKUP($A38,Barèmes!$A$65:$A$148,Barèmes!$G$65:$G$148),IF($A38=INT($B$8+$B$4),(LOOKUP($A38,Retraite!$A$7:$A$47,Retraite!$K$7:$K$47)/LOOKUP($A38,Barèmes!$A$65:$A$148,Barèmes!$G$65:$G$148))*(1-(INT($B$8+1)-$B$8)),0)))</f>
        <v>-9436.4864660200274</v>
      </c>
      <c r="C38" s="121">
        <f>IF($A38&lt;$B$5+$B$4,-LOOKUP($A38,Cot_droits!$A$17:$A$68,Cot_droits!$Q$17:$Q$68)/LOOKUP($A38,Barèmes!$A$65:$A$148,Barèmes!$G$65:$G$148),IF(AND($A38&gt;=$B$5+$B$4,$A38&lt;=INT($B$8)-1+$B$4),LOOKUP($A38,Retraite!$A$7:$A$47,Retraite!N$7:$N$47)/LOOKUP($A38,Barèmes!$A$65:$A$148,Barèmes!$G$65:$G$148),IF($A38=INT($B$8+$B$4),(LOOKUP($A38,Retraite!$A$7:$A$47,Retraite!$N$7:$N$47)/LOOKUP($A38,Barèmes!$A$65:$A$148,Barèmes!$G$65:$G$148))*(1-(INT($B$8)+1-$B$8)),0)))</f>
        <v>-9436.4864660200274</v>
      </c>
      <c r="D38" s="115"/>
      <c r="E38" s="131">
        <f>IF($A38&lt;$B$5+$B$4,-(LOOKUP($A38,Cot_droits!$A$17:$A$68,Cot_droits!$H$17:$H$68)+LOOKUP($A38,Cot_droits!$A$17:$A$68,Cot_droits!$L$17:$L$68))/LOOKUP($A38,Barèmes!$A$65:$A$148,Barèmes!$G$65:$G$148),IF(AND($A38&gt;=$B$5+$B$4,$A38&lt;=INT($B$8)-1+$B$4),LOOKUP($A38,Retraite!$A$7:$A$47,Retraite!$L$7:$L$47)/LOOKUP($A38,Barèmes!$A$65:$A$148,Barèmes!$G$65:$G$148),IF($A38=INT($B$8+$B$4),(LOOKUP($A38,Retraite!$A$7:$A$47,Retraite!$L$7:$L$47)/LOOKUP($A38,Barèmes!$A$65:$A$148,Barèmes!$G$65:$G$148))*(1-(INT($B$8)+1-$B$8)),0)))</f>
        <v>-6030.7350317511155</v>
      </c>
      <c r="F38" s="121">
        <f>IF($A38&lt;$B$5+$B$4,-(LOOKUP($A38,Cot_droits!$A$17:$A$68,Cot_droits!$H$17:$H$68)+LOOKUP($A38,Cot_droits!$A$17:$A$68,Cot_droits!$L$17:$L$68))/LOOKUP($A38,Barèmes!$A$65:$A$148,Barèmes!$G$65:$G$148),IF(AND($A38&gt;=$B$5+$B$4,$A38&lt;=INT($B$8)-1+$B$4),LOOKUP($A38,Retraite!$A$7:$A$47,Retraite!$P$7:P$47)/LOOKUP($A38,Barèmes!$A$65:$A$148,Barèmes!$G$65:$G$148),IF($A38=INT($B$8+$B$4),(LOOKUP($A38,Retraite!$A$7:$A$47,Retraite!$P$7:$P$47)/LOOKUP($A38,Barèmes!$A$65:$A$148,Barèmes!$G$65:$G$148))*(1-(INT($B$8)+1-$B$8)),0)))</f>
        <v>-6030.7350317511155</v>
      </c>
      <c r="H38" s="131">
        <f>IF($A38&lt;$B$5+$B$4,-(LOOKUP($A38,Cot_droits!$A$17:$A$68,Cot_droits!$I$17:$I$68)+LOOKUP($A38,Cot_droits!$A$17:$A$68,Cot_droits!$J$17:$J$68)+LOOKUP($A38,Cot_droits!$A$17:$A$68,Cot_droits!$N$17:$N$68))/LOOKUP($A38,Barèmes!$A$65:$A$148,Barèmes!$G$65:$G$148),IF(AND($A38&gt;=$B$5+$B$4,$A38&lt;=INT($B$8)-1+$B$4),LOOKUP($A38,Retraite!$A$7:$A$47,Retraite!$M$7:$M$47)/LOOKUP($A38,Barèmes!$A$65:$A$148,Barèmes!$G$65:$G$148),IF($A38=INT($B$8+$B$4),(LOOKUP($A38,Retraite!$A$7:$A$47,Retraite!$M$7:$M$47)/LOOKUP($A38,Barèmes!$A$65:$A$148,Barèmes!$G$65:$G$148))*(1-(INT($B$8)+1-$B$8)),0)))</f>
        <v>-3405.7514342689124</v>
      </c>
      <c r="I38" s="121">
        <f>IF($A38&lt;$B$5+$B$4,-(LOOKUP($A38,Cot_droits!$A$17:$A$68,Cot_droits!$I$17:$I$68)+LOOKUP($A38,Cot_droits!$A$17:$A$68,Cot_droits!$J$17:$J$68)+LOOKUP($A38,Cot_droits!$A$17:$A$68,Cot_droits!$N$17:$N$68))/LOOKUP($A38,Barèmes!$A$65:$A$148,Barèmes!$G$65:$G$148),IF(AND($A38&gt;=$B$5+$B$4,$A38&lt;=INT($B$8)-1+$B$4),LOOKUP($A38,Retraite!$A$7:$A$47,Retraite!$Q$7:Q$47)/LOOKUP($A38,Barèmes!$A$65:$A$148,Barèmes!$G$65:$G$148),IF($A38=INT($B$8+$B$4),(LOOKUP($A38,Retraite!$A$7:$A$47,Retraite!$Q$7:$Q$47)/LOOKUP($A38,Barèmes!$A$65:$A$148,Barèmes!$G$65:$G$148))*(1-(INT($B$8)+1-$B$8)),0)))</f>
        <v>-3405.7514342689124</v>
      </c>
      <c r="J38" s="115"/>
    </row>
    <row r="39" spans="1:10" s="43" customFormat="1" ht="15.75" customHeight="1" x14ac:dyDescent="0.25">
      <c r="A39" s="125">
        <f t="shared" si="0"/>
        <v>2044</v>
      </c>
      <c r="B39" s="131">
        <f>IF($A39&lt;$B$5+$B$4,-LOOKUP($A39,Cot_droits!$A$17:$A$68,Cot_droits!$Q$17:$Q$68)/LOOKUP($A39,Barèmes!$A$65:$A$148,Barèmes!$G$65:$G$148),IF(AND($A39&gt;=$B$5+$B$4,$A39&lt;=INT($B$8)+$B$4-1),LOOKUP($A39,Retraite!$A$7:$A$47,Retraite!$K$7:$K$47)/LOOKUP($A39,Barèmes!$A$65:$A$148,Barèmes!$G$65:$G$148),IF($A39=INT($B$8+$B$4),(LOOKUP($A39,Retraite!$A$7:$A$47,Retraite!$K$7:$K$47)/LOOKUP($A39,Barèmes!$A$65:$A$148,Barèmes!$G$65:$G$148))*(1-(INT($B$8+1)-$B$8)),0)))</f>
        <v>-9437.2292224815465</v>
      </c>
      <c r="C39" s="121">
        <f>IF($A39&lt;$B$5+$B$4,-LOOKUP($A39,Cot_droits!$A$17:$A$68,Cot_droits!$Q$17:$Q$68)/LOOKUP($A39,Barèmes!$A$65:$A$148,Barèmes!$G$65:$G$148),IF(AND($A39&gt;=$B$5+$B$4,$A39&lt;=INT($B$8)-1+$B$4),LOOKUP($A39,Retraite!$A$7:$A$47,Retraite!N$7:$N$47)/LOOKUP($A39,Barèmes!$A$65:$A$148,Barèmes!$G$65:$G$148),IF($A39=INT($B$8+$B$4),(LOOKUP($A39,Retraite!$A$7:$A$47,Retraite!$N$7:$N$47)/LOOKUP($A39,Barèmes!$A$65:$A$148,Barèmes!$G$65:$G$148))*(1-(INT($B$8)+1-$B$8)),0)))</f>
        <v>-9437.2292224815465</v>
      </c>
      <c r="D39" s="115"/>
      <c r="E39" s="131">
        <f>IF($A39&lt;$B$5+$B$4,-(LOOKUP($A39,Cot_droits!$A$17:$A$68,Cot_droits!$H$17:$H$68)+LOOKUP($A39,Cot_droits!$A$17:$A$68,Cot_droits!$L$17:$L$68))/LOOKUP($A39,Barèmes!$A$65:$A$148,Barèmes!$G$65:$G$148),IF(AND($A39&gt;=$B$5+$B$4,$A39&lt;=INT($B$8)-1+$B$4),LOOKUP($A39,Retraite!$A$7:$A$47,Retraite!$L$7:$L$47)/LOOKUP($A39,Barèmes!$A$65:$A$148,Barèmes!$G$65:$G$148),IF($A39=INT($B$8+$B$4),(LOOKUP($A39,Retraite!$A$7:$A$47,Retraite!$L$7:$L$47)/LOOKUP($A39,Barèmes!$A$65:$A$148,Barèmes!$G$65:$G$148))*(1-(INT($B$8)+1-$B$8)),0)))</f>
        <v>-6031.209717687314</v>
      </c>
      <c r="F39" s="121">
        <f>IF($A39&lt;$B$5+$B$4,-(LOOKUP($A39,Cot_droits!$A$17:$A$68,Cot_droits!$H$17:$H$68)+LOOKUP($A39,Cot_droits!$A$17:$A$68,Cot_droits!$L$17:$L$68))/LOOKUP($A39,Barèmes!$A$65:$A$148,Barèmes!$G$65:$G$148),IF(AND($A39&gt;=$B$5+$B$4,$A39&lt;=INT($B$8)-1+$B$4),LOOKUP($A39,Retraite!$A$7:$A$47,Retraite!$P$7:P$47)/LOOKUP($A39,Barèmes!$A$65:$A$148,Barèmes!$G$65:$G$148),IF($A39=INT($B$8+$B$4),(LOOKUP($A39,Retraite!$A$7:$A$47,Retraite!$P$7:$P$47)/LOOKUP($A39,Barèmes!$A$65:$A$148,Barèmes!$G$65:$G$148))*(1-(INT($B$8)+1-$B$8)),0)))</f>
        <v>-6031.209717687314</v>
      </c>
      <c r="H39" s="131">
        <f>IF($A39&lt;$B$5+$B$4,-(LOOKUP($A39,Cot_droits!$A$17:$A$68,Cot_droits!$I$17:$I$68)+LOOKUP($A39,Cot_droits!$A$17:$A$68,Cot_droits!$J$17:$J$68)+LOOKUP($A39,Cot_droits!$A$17:$A$68,Cot_droits!$N$17:$N$68))/LOOKUP($A39,Barèmes!$A$65:$A$148,Barèmes!$G$65:$G$148),IF(AND($A39&gt;=$B$5+$B$4,$A39&lt;=INT($B$8)-1+$B$4),LOOKUP($A39,Retraite!$A$7:$A$47,Retraite!$M$7:$M$47)/LOOKUP($A39,Barèmes!$A$65:$A$148,Barèmes!$G$65:$G$148),IF($A39=INT($B$8+$B$4),(LOOKUP($A39,Retraite!$A$7:$A$47,Retraite!$M$7:$M$47)/LOOKUP($A39,Barèmes!$A$65:$A$148,Barèmes!$G$65:$G$148))*(1-(INT($B$8)+1-$B$8)),0)))</f>
        <v>-3406.0195047942334</v>
      </c>
      <c r="I39" s="121">
        <f>IF($A39&lt;$B$5+$B$4,-(LOOKUP($A39,Cot_droits!$A$17:$A$68,Cot_droits!$I$17:$I$68)+LOOKUP($A39,Cot_droits!$A$17:$A$68,Cot_droits!$J$17:$J$68)+LOOKUP($A39,Cot_droits!$A$17:$A$68,Cot_droits!$N$17:$N$68))/LOOKUP($A39,Barèmes!$A$65:$A$148,Barèmes!$G$65:$G$148),IF(AND($A39&gt;=$B$5+$B$4,$A39&lt;=INT($B$8)-1+$B$4),LOOKUP($A39,Retraite!$A$7:$A$47,Retraite!$Q$7:Q$47)/LOOKUP($A39,Barèmes!$A$65:$A$148,Barèmes!$G$65:$G$148),IF($A39=INT($B$8+$B$4),(LOOKUP($A39,Retraite!$A$7:$A$47,Retraite!$Q$7:$Q$47)/LOOKUP($A39,Barèmes!$A$65:$A$148,Barèmes!$G$65:$G$148))*(1-(INT($B$8)+1-$B$8)),0)))</f>
        <v>-3406.0195047942334</v>
      </c>
      <c r="J39" s="115"/>
    </row>
    <row r="40" spans="1:10" s="43" customFormat="1" ht="15.75" customHeight="1" x14ac:dyDescent="0.25">
      <c r="A40" s="125">
        <f t="shared" si="0"/>
        <v>2045</v>
      </c>
      <c r="B40" s="131">
        <f>IF($A40&lt;$B$5+$B$4,-LOOKUP($A40,Cot_droits!$A$17:$A$68,Cot_droits!$Q$17:$Q$68)/LOOKUP($A40,Barèmes!$A$65:$A$148,Barèmes!$G$65:$G$148),IF(AND($A40&gt;=$B$5+$B$4,$A40&lt;=INT($B$8)+$B$4-1),LOOKUP($A40,Retraite!$A$7:$A$47,Retraite!$K$7:$K$47)/LOOKUP($A40,Barèmes!$A$65:$A$148,Barèmes!$G$65:$G$148),IF($A40=INT($B$8+$B$4),(LOOKUP($A40,Retraite!$A$7:$A$47,Retraite!$K$7:$K$47)/LOOKUP($A40,Barèmes!$A$65:$A$148,Barèmes!$G$65:$G$148))*(1-(INT($B$8+1)-$B$8)),0)))</f>
        <v>-9462.4940141632651</v>
      </c>
      <c r="C40" s="121">
        <f>IF($A40&lt;$B$5+$B$4,-LOOKUP($A40,Cot_droits!$A$17:$A$68,Cot_droits!$Q$17:$Q$68)/LOOKUP($A40,Barèmes!$A$65:$A$148,Barèmes!$G$65:$G$148),IF(AND($A40&gt;=$B$5+$B$4,$A40&lt;=INT($B$8)-1+$B$4),LOOKUP($A40,Retraite!$A$7:$A$47,Retraite!N$7:$N$47)/LOOKUP($A40,Barèmes!$A$65:$A$148,Barèmes!$G$65:$G$148),IF($A40=INT($B$8+$B$4),(LOOKUP($A40,Retraite!$A$7:$A$47,Retraite!$N$7:$N$47)/LOOKUP($A40,Barèmes!$A$65:$A$148,Barèmes!$G$65:$G$148))*(1-(INT($B$8)+1-$B$8)),0)))</f>
        <v>-9462.4940141632651</v>
      </c>
      <c r="D40" s="115"/>
      <c r="E40" s="131">
        <f>IF($A40&lt;$B$5+$B$4,-(LOOKUP($A40,Cot_droits!$A$17:$A$68,Cot_droits!$H$17:$H$68)+LOOKUP($A40,Cot_droits!$A$17:$A$68,Cot_droits!$L$17:$L$68))/LOOKUP($A40,Barèmes!$A$65:$A$148,Barèmes!$G$65:$G$148),IF(AND($A40&gt;=$B$5+$B$4,$A40&lt;=INT($B$8)-1+$B$4),LOOKUP($A40,Retraite!$A$7:$A$47,Retraite!$L$7:$L$47)/LOOKUP($A40,Barèmes!$A$65:$A$148,Barèmes!$G$65:$G$148),IF($A40=INT($B$8+$B$4),(LOOKUP($A40,Retraite!$A$7:$A$47,Retraite!$L$7:$L$47)/LOOKUP($A40,Barèmes!$A$65:$A$148,Barèmes!$G$65:$G$148))*(1-(INT($B$8)+1-$B$8)),0)))</f>
        <v>-6047.3561154820318</v>
      </c>
      <c r="F40" s="121">
        <f>IF($A40&lt;$B$5+$B$4,-(LOOKUP($A40,Cot_droits!$A$17:$A$68,Cot_droits!$H$17:$H$68)+LOOKUP($A40,Cot_droits!$A$17:$A$68,Cot_droits!$L$17:$L$68))/LOOKUP($A40,Barèmes!$A$65:$A$148,Barèmes!$G$65:$G$148),IF(AND($A40&gt;=$B$5+$B$4,$A40&lt;=INT($B$8)-1+$B$4),LOOKUP($A40,Retraite!$A$7:$A$47,Retraite!$P$7:P$47)/LOOKUP($A40,Barèmes!$A$65:$A$148,Barèmes!$G$65:$G$148),IF($A40=INT($B$8+$B$4),(LOOKUP($A40,Retraite!$A$7:$A$47,Retraite!$P$7:$P$47)/LOOKUP($A40,Barèmes!$A$65:$A$148,Barèmes!$G$65:$G$148))*(1-(INT($B$8)+1-$B$8)),0)))</f>
        <v>-6047.3561154820318</v>
      </c>
      <c r="H40" s="131">
        <f>IF($A40&lt;$B$5+$B$4,-(LOOKUP($A40,Cot_droits!$A$17:$A$68,Cot_droits!$I$17:$I$68)+LOOKUP($A40,Cot_droits!$A$17:$A$68,Cot_droits!$J$17:$J$68)+LOOKUP($A40,Cot_droits!$A$17:$A$68,Cot_droits!$N$17:$N$68))/LOOKUP($A40,Barèmes!$A$65:$A$148,Barèmes!$G$65:$G$148),IF(AND($A40&gt;=$B$5+$B$4,$A40&lt;=INT($B$8)-1+$B$4),LOOKUP($A40,Retraite!$A$7:$A$47,Retraite!$M$7:$M$47)/LOOKUP($A40,Barèmes!$A$65:$A$148,Barèmes!$G$65:$G$148),IF($A40=INT($B$8+$B$4),(LOOKUP($A40,Retraite!$A$7:$A$47,Retraite!$M$7:$M$47)/LOOKUP($A40,Barèmes!$A$65:$A$148,Barèmes!$G$65:$G$148))*(1-(INT($B$8)+1-$B$8)),0)))</f>
        <v>-3415.1378986812329</v>
      </c>
      <c r="I40" s="121">
        <f>IF($A40&lt;$B$5+$B$4,-(LOOKUP($A40,Cot_droits!$A$17:$A$68,Cot_droits!$I$17:$I$68)+LOOKUP($A40,Cot_droits!$A$17:$A$68,Cot_droits!$J$17:$J$68)+LOOKUP($A40,Cot_droits!$A$17:$A$68,Cot_droits!$N$17:$N$68))/LOOKUP($A40,Barèmes!$A$65:$A$148,Barèmes!$G$65:$G$148),IF(AND($A40&gt;=$B$5+$B$4,$A40&lt;=INT($B$8)-1+$B$4),LOOKUP($A40,Retraite!$A$7:$A$47,Retraite!$Q$7:Q$47)/LOOKUP($A40,Barèmes!$A$65:$A$148,Barèmes!$G$65:$G$148),IF($A40=INT($B$8+$B$4),(LOOKUP($A40,Retraite!$A$7:$A$47,Retraite!$Q$7:$Q$47)/LOOKUP($A40,Barèmes!$A$65:$A$148,Barèmes!$G$65:$G$148))*(1-(INT($B$8)+1-$B$8)),0)))</f>
        <v>-3415.1378986812329</v>
      </c>
      <c r="J40" s="115"/>
    </row>
    <row r="41" spans="1:10" s="43" customFormat="1" ht="15.75" customHeight="1" x14ac:dyDescent="0.25">
      <c r="A41" s="125">
        <f t="shared" si="0"/>
        <v>2046</v>
      </c>
      <c r="B41" s="131">
        <f>IF($A41&lt;$B$5+$B$4,-LOOKUP($A41,Cot_droits!$A$17:$A$68,Cot_droits!$Q$17:$Q$68)/LOOKUP($A41,Barèmes!$A$65:$A$148,Barèmes!$G$65:$G$148),IF(AND($A41&gt;=$B$5+$B$4,$A41&lt;=INT($B$8)+$B$4-1),LOOKUP($A41,Retraite!$A$7:$A$47,Retraite!$K$7:$K$47)/LOOKUP($A41,Barèmes!$A$65:$A$148,Barèmes!$G$65:$G$148),IF($A41=INT($B$8+$B$4),(LOOKUP($A41,Retraite!$A$7:$A$47,Retraite!$K$7:$K$47)/LOOKUP($A41,Barèmes!$A$65:$A$148,Barèmes!$G$65:$G$148))*(1-(INT($B$8+1)-$B$8)),0)))</f>
        <v>-9496.4549670682991</v>
      </c>
      <c r="C41" s="121">
        <f>IF($A41&lt;$B$5+$B$4,-LOOKUP($A41,Cot_droits!$A$17:$A$68,Cot_droits!$Q$17:$Q$68)/LOOKUP($A41,Barèmes!$A$65:$A$148,Barèmes!$G$65:$G$148),IF(AND($A41&gt;=$B$5+$B$4,$A41&lt;=INT($B$8)-1+$B$4),LOOKUP($A41,Retraite!$A$7:$A$47,Retraite!N$7:$N$47)/LOOKUP($A41,Barèmes!$A$65:$A$148,Barèmes!$G$65:$G$148),IF($A41=INT($B$8+$B$4),(LOOKUP($A41,Retraite!$A$7:$A$47,Retraite!$N$7:$N$47)/LOOKUP($A41,Barèmes!$A$65:$A$148,Barèmes!$G$65:$G$148))*(1-(INT($B$8)+1-$B$8)),0)))</f>
        <v>-9496.4549670682991</v>
      </c>
      <c r="D41" s="115"/>
      <c r="E41" s="131">
        <f>IF($A41&lt;$B$5+$B$4,-(LOOKUP($A41,Cot_droits!$A$17:$A$68,Cot_droits!$H$17:$H$68)+LOOKUP($A41,Cot_droits!$A$17:$A$68,Cot_droits!$L$17:$L$68))/LOOKUP($A41,Barèmes!$A$65:$A$148,Barèmes!$G$65:$G$148),IF(AND($A41&gt;=$B$5+$B$4,$A41&lt;=INT($B$8)-1+$B$4),LOOKUP($A41,Retraite!$A$7:$A$47,Retraite!$L$7:$L$47)/LOOKUP($A41,Barèmes!$A$65:$A$148,Barèmes!$G$65:$G$148),IF($A41=INT($B$8+$B$4),(LOOKUP($A41,Retraite!$A$7:$A$47,Retraite!$L$7:$L$47)/LOOKUP($A41,Barèmes!$A$65:$A$148,Barèmes!$G$65:$G$148))*(1-(INT($B$8)+1-$B$8)),0)))</f>
        <v>-6069.0601161324357</v>
      </c>
      <c r="F41" s="121">
        <f>IF($A41&lt;$B$5+$B$4,-(LOOKUP($A41,Cot_droits!$A$17:$A$68,Cot_droits!$H$17:$H$68)+LOOKUP($A41,Cot_droits!$A$17:$A$68,Cot_droits!$L$17:$L$68))/LOOKUP($A41,Barèmes!$A$65:$A$148,Barèmes!$G$65:$G$148),IF(AND($A41&gt;=$B$5+$B$4,$A41&lt;=INT($B$8)-1+$B$4),LOOKUP($A41,Retraite!$A$7:$A$47,Retraite!$P$7:P$47)/LOOKUP($A41,Barèmes!$A$65:$A$148,Barèmes!$G$65:$G$148),IF($A41=INT($B$8+$B$4),(LOOKUP($A41,Retraite!$A$7:$A$47,Retraite!$P$7:$P$47)/LOOKUP($A41,Barèmes!$A$65:$A$148,Barèmes!$G$65:$G$148))*(1-(INT($B$8)+1-$B$8)),0)))</f>
        <v>-6069.0601161324357</v>
      </c>
      <c r="H41" s="131">
        <f>IF($A41&lt;$B$5+$B$4,-(LOOKUP($A41,Cot_droits!$A$17:$A$68,Cot_droits!$I$17:$I$68)+LOOKUP($A41,Cot_droits!$A$17:$A$68,Cot_droits!$J$17:$J$68)+LOOKUP($A41,Cot_droits!$A$17:$A$68,Cot_droits!$N$17:$N$68))/LOOKUP($A41,Barèmes!$A$65:$A$148,Barèmes!$G$65:$G$148),IF(AND($A41&gt;=$B$5+$B$4,$A41&lt;=INT($B$8)-1+$B$4),LOOKUP($A41,Retraite!$A$7:$A$47,Retraite!$M$7:$M$47)/LOOKUP($A41,Barèmes!$A$65:$A$148,Barèmes!$G$65:$G$148),IF($A41=INT($B$8+$B$4),(LOOKUP($A41,Retraite!$A$7:$A$47,Retraite!$M$7:$M$47)/LOOKUP($A41,Barèmes!$A$65:$A$148,Barèmes!$G$65:$G$148))*(1-(INT($B$8)+1-$B$8)),0)))</f>
        <v>-3427.3948509358615</v>
      </c>
      <c r="I41" s="121">
        <f>IF($A41&lt;$B$5+$B$4,-(LOOKUP($A41,Cot_droits!$A$17:$A$68,Cot_droits!$I$17:$I$68)+LOOKUP($A41,Cot_droits!$A$17:$A$68,Cot_droits!$J$17:$J$68)+LOOKUP($A41,Cot_droits!$A$17:$A$68,Cot_droits!$N$17:$N$68))/LOOKUP($A41,Barèmes!$A$65:$A$148,Barèmes!$G$65:$G$148),IF(AND($A41&gt;=$B$5+$B$4,$A41&lt;=INT($B$8)-1+$B$4),LOOKUP($A41,Retraite!$A$7:$A$47,Retraite!$Q$7:Q$47)/LOOKUP($A41,Barèmes!$A$65:$A$148,Barèmes!$G$65:$G$148),IF($A41=INT($B$8+$B$4),(LOOKUP($A41,Retraite!$A$7:$A$47,Retraite!$Q$7:$Q$47)/LOOKUP($A41,Barèmes!$A$65:$A$148,Barèmes!$G$65:$G$148))*(1-(INT($B$8)+1-$B$8)),0)))</f>
        <v>-3427.3948509358615</v>
      </c>
      <c r="J41" s="115"/>
    </row>
    <row r="42" spans="1:10" s="43" customFormat="1" ht="15.75" customHeight="1" x14ac:dyDescent="0.25">
      <c r="A42" s="125">
        <f t="shared" si="0"/>
        <v>2047</v>
      </c>
      <c r="B42" s="131">
        <f>IF($A42&lt;$B$5+$B$4,-LOOKUP($A42,Cot_droits!$A$17:$A$68,Cot_droits!$Q$17:$Q$68)/LOOKUP($A42,Barèmes!$A$65:$A$148,Barèmes!$G$65:$G$148),IF(AND($A42&gt;=$B$5+$B$4,$A42&lt;=INT($B$8)+$B$4-1),LOOKUP($A42,Retraite!$A$7:$A$47,Retraite!$K$7:$K$47)/LOOKUP($A42,Barèmes!$A$65:$A$148,Barèmes!$G$65:$G$148),IF($A42=INT($B$8+$B$4),(LOOKUP($A42,Retraite!$A$7:$A$47,Retraite!$K$7:$K$47)/LOOKUP($A42,Barèmes!$A$65:$A$148,Barèmes!$G$65:$G$148))*(1-(INT($B$8+1)-$B$8)),0)))</f>
        <v>-9541.7382883241353</v>
      </c>
      <c r="C42" s="121">
        <f>IF($A42&lt;$B$5+$B$4,-LOOKUP($A42,Cot_droits!$A$17:$A$68,Cot_droits!$Q$17:$Q$68)/LOOKUP($A42,Barèmes!$A$65:$A$148,Barèmes!$G$65:$G$148),IF(AND($A42&gt;=$B$5+$B$4,$A42&lt;=INT($B$8)-1+$B$4),LOOKUP($A42,Retraite!$A$7:$A$47,Retraite!N$7:$N$47)/LOOKUP($A42,Barèmes!$A$65:$A$148,Barèmes!$G$65:$G$148),IF($A42=INT($B$8+$B$4),(LOOKUP($A42,Retraite!$A$7:$A$47,Retraite!$N$7:$N$47)/LOOKUP($A42,Barèmes!$A$65:$A$148,Barèmes!$G$65:$G$148))*(1-(INT($B$8)+1-$B$8)),0)))</f>
        <v>-9541.7382883241353</v>
      </c>
      <c r="D42" s="115"/>
      <c r="E42" s="131">
        <f>IF($A42&lt;$B$5+$B$4,-(LOOKUP($A42,Cot_droits!$A$17:$A$68,Cot_droits!$H$17:$H$68)+LOOKUP($A42,Cot_droits!$A$17:$A$68,Cot_droits!$L$17:$L$68))/LOOKUP($A42,Barèmes!$A$65:$A$148,Barèmes!$G$65:$G$148),IF(AND($A42&gt;=$B$5+$B$4,$A42&lt;=INT($B$8)-1+$B$4),LOOKUP($A42,Retraite!$A$7:$A$47,Retraite!$L$7:$L$47)/LOOKUP($A42,Barèmes!$A$65:$A$148,Barèmes!$G$65:$G$148),IF($A42=INT($B$8+$B$4),(LOOKUP($A42,Retraite!$A$7:$A$47,Retraite!$L$7:$L$47)/LOOKUP($A42,Barèmes!$A$65:$A$148,Barèmes!$G$65:$G$148))*(1-(INT($B$8)+1-$B$8)),0)))</f>
        <v>-6098.00009425194</v>
      </c>
      <c r="F42" s="121">
        <f>IF($A42&lt;$B$5+$B$4,-(LOOKUP($A42,Cot_droits!$A$17:$A$68,Cot_droits!$H$17:$H$68)+LOOKUP($A42,Cot_droits!$A$17:$A$68,Cot_droits!$L$17:$L$68))/LOOKUP($A42,Barèmes!$A$65:$A$148,Barèmes!$G$65:$G$148),IF(AND($A42&gt;=$B$5+$B$4,$A42&lt;=INT($B$8)-1+$B$4),LOOKUP($A42,Retraite!$A$7:$A$47,Retraite!$P$7:P$47)/LOOKUP($A42,Barèmes!$A$65:$A$148,Barèmes!$G$65:$G$148),IF($A42=INT($B$8+$B$4),(LOOKUP($A42,Retraite!$A$7:$A$47,Retraite!$P$7:$P$47)/LOOKUP($A42,Barèmes!$A$65:$A$148,Barèmes!$G$65:$G$148))*(1-(INT($B$8)+1-$B$8)),0)))</f>
        <v>-6098.00009425194</v>
      </c>
      <c r="H42" s="131">
        <f>IF($A42&lt;$B$5+$B$4,-(LOOKUP($A42,Cot_droits!$A$17:$A$68,Cot_droits!$I$17:$I$68)+LOOKUP($A42,Cot_droits!$A$17:$A$68,Cot_droits!$J$17:$J$68)+LOOKUP($A42,Cot_droits!$A$17:$A$68,Cot_droits!$N$17:$N$68))/LOOKUP($A42,Barèmes!$A$65:$A$148,Barèmes!$G$65:$G$148),IF(AND($A42&gt;=$B$5+$B$4,$A42&lt;=INT($B$8)-1+$B$4),LOOKUP($A42,Retraite!$A$7:$A$47,Retraite!$M$7:$M$47)/LOOKUP($A42,Barèmes!$A$65:$A$148,Barèmes!$G$65:$G$148),IF($A42=INT($B$8+$B$4),(LOOKUP($A42,Retraite!$A$7:$A$47,Retraite!$M$7:$M$47)/LOOKUP($A42,Barèmes!$A$65:$A$148,Barèmes!$G$65:$G$148))*(1-(INT($B$8)+1-$B$8)),0)))</f>
        <v>-3443.7381940721943</v>
      </c>
      <c r="I42" s="121">
        <f>IF($A42&lt;$B$5+$B$4,-(LOOKUP($A42,Cot_droits!$A$17:$A$68,Cot_droits!$I$17:$I$68)+LOOKUP($A42,Cot_droits!$A$17:$A$68,Cot_droits!$J$17:$J$68)+LOOKUP($A42,Cot_droits!$A$17:$A$68,Cot_droits!$N$17:$N$68))/LOOKUP($A42,Barèmes!$A$65:$A$148,Barèmes!$G$65:$G$148),IF(AND($A42&gt;=$B$5+$B$4,$A42&lt;=INT($B$8)-1+$B$4),LOOKUP($A42,Retraite!$A$7:$A$47,Retraite!$Q$7:Q$47)/LOOKUP($A42,Barèmes!$A$65:$A$148,Barèmes!$G$65:$G$148),IF($A42=INT($B$8+$B$4),(LOOKUP($A42,Retraite!$A$7:$A$47,Retraite!$Q$7:$Q$47)/LOOKUP($A42,Barèmes!$A$65:$A$148,Barèmes!$G$65:$G$148))*(1-(INT($B$8)+1-$B$8)),0)))</f>
        <v>-3443.7381940721943</v>
      </c>
      <c r="J42" s="115"/>
    </row>
    <row r="43" spans="1:10" s="43" customFormat="1" ht="15.75" customHeight="1" x14ac:dyDescent="0.25">
      <c r="A43" s="125">
        <f t="shared" si="0"/>
        <v>2048</v>
      </c>
      <c r="B43" s="131">
        <f>IF($A43&lt;$B$5+$B$4,-LOOKUP($A43,Cot_droits!$A$17:$A$68,Cot_droits!$Q$17:$Q$68)/LOOKUP($A43,Barèmes!$A$65:$A$148,Barèmes!$G$65:$G$148),IF(AND($A43&gt;=$B$5+$B$4,$A43&lt;=INT($B$8)+$B$4-1),LOOKUP($A43,Retraite!$A$7:$A$47,Retraite!$K$7:$K$47)/LOOKUP($A43,Barèmes!$A$65:$A$148,Barèmes!$G$65:$G$148),IF($A43=INT($B$8+$B$4),(LOOKUP($A43,Retraite!$A$7:$A$47,Retraite!$K$7:$K$47)/LOOKUP($A43,Barèmes!$A$65:$A$148,Barèmes!$G$65:$G$148))*(1-(INT($B$8+1)-$B$8)),0)))</f>
        <v>-9705.1658355072104</v>
      </c>
      <c r="C43" s="121">
        <f>IF($A43&lt;$B$5+$B$4,-LOOKUP($A43,Cot_droits!$A$17:$A$68,Cot_droits!$Q$17:$Q$68)/LOOKUP($A43,Barèmes!$A$65:$A$148,Barèmes!$G$65:$G$148),IF(AND($A43&gt;=$B$5+$B$4,$A43&lt;=INT($B$8)-1+$B$4),LOOKUP($A43,Retraite!$A$7:$A$47,Retraite!N$7:$N$47)/LOOKUP($A43,Barèmes!$A$65:$A$148,Barèmes!$G$65:$G$148),IF($A43=INT($B$8+$B$4),(LOOKUP($A43,Retraite!$A$7:$A$47,Retraite!$N$7:$N$47)/LOOKUP($A43,Barèmes!$A$65:$A$148,Barèmes!$G$65:$G$148))*(1-(INT($B$8)+1-$B$8)),0)))</f>
        <v>-9705.1658355072104</v>
      </c>
      <c r="D43" s="115"/>
      <c r="E43" s="131">
        <f>IF($A43&lt;$B$5+$B$4,-(LOOKUP($A43,Cot_droits!$A$17:$A$68,Cot_droits!$H$17:$H$68)+LOOKUP($A43,Cot_droits!$A$17:$A$68,Cot_droits!$L$17:$L$68))/LOOKUP($A43,Barèmes!$A$65:$A$148,Barèmes!$G$65:$G$148),IF(AND($A43&gt;=$B$5+$B$4,$A43&lt;=INT($B$8)-1+$B$4),LOOKUP($A43,Retraite!$A$7:$A$47,Retraite!$L$7:$L$47)/LOOKUP($A43,Barèmes!$A$65:$A$148,Barèmes!$G$65:$G$148),IF($A43=INT($B$8+$B$4),(LOOKUP($A43,Retraite!$A$7:$A$47,Retraite!$L$7:$L$47)/LOOKUP($A43,Barèmes!$A$65:$A$148,Barèmes!$G$65:$G$148))*(1-(INT($B$8)+1-$B$8)),0)))</f>
        <v>-6202.4445013412887</v>
      </c>
      <c r="F43" s="121">
        <f>IF($A43&lt;$B$5+$B$4,-(LOOKUP($A43,Cot_droits!$A$17:$A$68,Cot_droits!$H$17:$H$68)+LOOKUP($A43,Cot_droits!$A$17:$A$68,Cot_droits!$L$17:$L$68))/LOOKUP($A43,Barèmes!$A$65:$A$148,Barèmes!$G$65:$G$148),IF(AND($A43&gt;=$B$5+$B$4,$A43&lt;=INT($B$8)-1+$B$4),LOOKUP($A43,Retraite!$A$7:$A$47,Retraite!$P$7:P$47)/LOOKUP($A43,Barèmes!$A$65:$A$148,Barèmes!$G$65:$G$148),IF($A43=INT($B$8+$B$4),(LOOKUP($A43,Retraite!$A$7:$A$47,Retraite!$P$7:$P$47)/LOOKUP($A43,Barèmes!$A$65:$A$148,Barèmes!$G$65:$G$148))*(1-(INT($B$8)+1-$B$8)),0)))</f>
        <v>-6202.4445013412887</v>
      </c>
      <c r="H43" s="131">
        <f>IF($A43&lt;$B$5+$B$4,-(LOOKUP($A43,Cot_droits!$A$17:$A$68,Cot_droits!$I$17:$I$68)+LOOKUP($A43,Cot_droits!$A$17:$A$68,Cot_droits!$J$17:$J$68)+LOOKUP($A43,Cot_droits!$A$17:$A$68,Cot_droits!$N$17:$N$68))/LOOKUP($A43,Barèmes!$A$65:$A$148,Barèmes!$G$65:$G$148),IF(AND($A43&gt;=$B$5+$B$4,$A43&lt;=INT($B$8)-1+$B$4),LOOKUP($A43,Retraite!$A$7:$A$47,Retraite!$M$7:$M$47)/LOOKUP($A43,Barèmes!$A$65:$A$148,Barèmes!$G$65:$G$148),IF($A43=INT($B$8+$B$4),(LOOKUP($A43,Retraite!$A$7:$A$47,Retraite!$M$7:$M$47)/LOOKUP($A43,Barèmes!$A$65:$A$148,Barèmes!$G$65:$G$148))*(1-(INT($B$8)+1-$B$8)),0)))</f>
        <v>-3502.7213341659199</v>
      </c>
      <c r="I43" s="121">
        <f>IF($A43&lt;$B$5+$B$4,-(LOOKUP($A43,Cot_droits!$A$17:$A$68,Cot_droits!$I$17:$I$68)+LOOKUP($A43,Cot_droits!$A$17:$A$68,Cot_droits!$J$17:$J$68)+LOOKUP($A43,Cot_droits!$A$17:$A$68,Cot_droits!$N$17:$N$68))/LOOKUP($A43,Barèmes!$A$65:$A$148,Barèmes!$G$65:$G$148),IF(AND($A43&gt;=$B$5+$B$4,$A43&lt;=INT($B$8)-1+$B$4),LOOKUP($A43,Retraite!$A$7:$A$47,Retraite!$Q$7:Q$47)/LOOKUP($A43,Barèmes!$A$65:$A$148,Barèmes!$G$65:$G$148),IF($A43=INT($B$8+$B$4),(LOOKUP($A43,Retraite!$A$7:$A$47,Retraite!$Q$7:$Q$47)/LOOKUP($A43,Barèmes!$A$65:$A$148,Barèmes!$G$65:$G$148))*(1-(INT($B$8)+1-$B$8)),0)))</f>
        <v>-3502.7213341659199</v>
      </c>
      <c r="J43" s="115"/>
    </row>
    <row r="44" spans="1:10" s="43" customFormat="1" ht="15.75" customHeight="1" x14ac:dyDescent="0.25">
      <c r="A44" s="125">
        <f t="shared" si="0"/>
        <v>2049</v>
      </c>
      <c r="B44" s="131">
        <f>IF($A44&lt;$B$5+$B$4,-LOOKUP($A44,Cot_droits!$A$17:$A$68,Cot_droits!$Q$17:$Q$68)/LOOKUP($A44,Barèmes!$A$65:$A$148,Barèmes!$G$65:$G$148),IF(AND($A44&gt;=$B$5+$B$4,$A44&lt;=INT($B$8)+$B$4-1),LOOKUP($A44,Retraite!$A$7:$A$47,Retraite!$K$7:$K$47)/LOOKUP($A44,Barèmes!$A$65:$A$148,Barèmes!$G$65:$G$148),IF($A44=INT($B$8+$B$4),(LOOKUP($A44,Retraite!$A$7:$A$47,Retraite!$K$7:$K$47)/LOOKUP($A44,Barèmes!$A$65:$A$148,Barèmes!$G$65:$G$148))*(1-(INT($B$8+1)-$B$8)),0)))</f>
        <v>-9670.0627348045946</v>
      </c>
      <c r="C44" s="121">
        <f>IF($A44&lt;$B$5+$B$4,-LOOKUP($A44,Cot_droits!$A$17:$A$68,Cot_droits!$Q$17:$Q$68)/LOOKUP($A44,Barèmes!$A$65:$A$148,Barèmes!$G$65:$G$148),IF(AND($A44&gt;=$B$5+$B$4,$A44&lt;=INT($B$8)-1+$B$4),LOOKUP($A44,Retraite!$A$7:$A$47,Retraite!N$7:$N$47)/LOOKUP($A44,Barèmes!$A$65:$A$148,Barèmes!$G$65:$G$148),IF($A44=INT($B$8+$B$4),(LOOKUP($A44,Retraite!$A$7:$A$47,Retraite!$N$7:$N$47)/LOOKUP($A44,Barèmes!$A$65:$A$148,Barèmes!$G$65:$G$148))*(1-(INT($B$8)+1-$B$8)),0)))</f>
        <v>-9670.0627348045946</v>
      </c>
      <c r="D44" s="115"/>
      <c r="E44" s="131">
        <f>IF($A44&lt;$B$5+$B$4,-(LOOKUP($A44,Cot_droits!$A$17:$A$68,Cot_droits!$H$17:$H$68)+LOOKUP($A44,Cot_droits!$A$17:$A$68,Cot_droits!$L$17:$L$68))/LOOKUP($A44,Barèmes!$A$65:$A$148,Barèmes!$G$65:$G$148),IF(AND($A44&gt;=$B$5+$B$4,$A44&lt;=INT($B$8)-1+$B$4),LOOKUP($A44,Retraite!$A$7:$A$47,Retraite!$L$7:$L$47)/LOOKUP($A44,Barèmes!$A$65:$A$148,Barèmes!$G$65:$G$148),IF($A44=INT($B$8+$B$4),(LOOKUP($A44,Retraite!$A$7:$A$47,Retraite!$L$7:$L$47)/LOOKUP($A44,Barèmes!$A$65:$A$148,Barèmes!$G$65:$G$148))*(1-(INT($B$8)+1-$B$8)),0)))</f>
        <v>-6180.0105689775164</v>
      </c>
      <c r="F44" s="121">
        <f>IF($A44&lt;$B$5+$B$4,-(LOOKUP($A44,Cot_droits!$A$17:$A$68,Cot_droits!$H$17:$H$68)+LOOKUP($A44,Cot_droits!$A$17:$A$68,Cot_droits!$L$17:$L$68))/LOOKUP($A44,Barèmes!$A$65:$A$148,Barèmes!$G$65:$G$148),IF(AND($A44&gt;=$B$5+$B$4,$A44&lt;=INT($B$8)-1+$B$4),LOOKUP($A44,Retraite!$A$7:$A$47,Retraite!$P$7:P$47)/LOOKUP($A44,Barèmes!$A$65:$A$148,Barèmes!$G$65:$G$148),IF($A44=INT($B$8+$B$4),(LOOKUP($A44,Retraite!$A$7:$A$47,Retraite!$P$7:$P$47)/LOOKUP($A44,Barèmes!$A$65:$A$148,Barèmes!$G$65:$G$148))*(1-(INT($B$8)+1-$B$8)),0)))</f>
        <v>-6180.0105689775164</v>
      </c>
      <c r="H44" s="131">
        <f>IF($A44&lt;$B$5+$B$4,-(LOOKUP($A44,Cot_droits!$A$17:$A$68,Cot_droits!$I$17:$I$68)+LOOKUP($A44,Cot_droits!$A$17:$A$68,Cot_droits!$J$17:$J$68)+LOOKUP($A44,Cot_droits!$A$17:$A$68,Cot_droits!$N$17:$N$68))/LOOKUP($A44,Barèmes!$A$65:$A$148,Barèmes!$G$65:$G$148),IF(AND($A44&gt;=$B$5+$B$4,$A44&lt;=INT($B$8)-1+$B$4),LOOKUP($A44,Retraite!$A$7:$A$47,Retraite!$M$7:$M$47)/LOOKUP($A44,Barèmes!$A$65:$A$148,Barèmes!$G$65:$G$148),IF($A44=INT($B$8+$B$4),(LOOKUP($A44,Retraite!$A$7:$A$47,Retraite!$M$7:$M$47)/LOOKUP($A44,Barèmes!$A$65:$A$148,Barèmes!$G$65:$G$148))*(1-(INT($B$8)+1-$B$8)),0)))</f>
        <v>-3490.0521658270782</v>
      </c>
      <c r="I44" s="121">
        <f>IF($A44&lt;$B$5+$B$4,-(LOOKUP($A44,Cot_droits!$A$17:$A$68,Cot_droits!$I$17:$I$68)+LOOKUP($A44,Cot_droits!$A$17:$A$68,Cot_droits!$J$17:$J$68)+LOOKUP($A44,Cot_droits!$A$17:$A$68,Cot_droits!$N$17:$N$68))/LOOKUP($A44,Barèmes!$A$65:$A$148,Barèmes!$G$65:$G$148),IF(AND($A44&gt;=$B$5+$B$4,$A44&lt;=INT($B$8)-1+$B$4),LOOKUP($A44,Retraite!$A$7:$A$47,Retraite!$Q$7:Q$47)/LOOKUP($A44,Barèmes!$A$65:$A$148,Barèmes!$G$65:$G$148),IF($A44=INT($B$8+$B$4),(LOOKUP($A44,Retraite!$A$7:$A$47,Retraite!$Q$7:$Q$47)/LOOKUP($A44,Barèmes!$A$65:$A$148,Barèmes!$G$65:$G$148))*(1-(INT($B$8)+1-$B$8)),0)))</f>
        <v>-3490.0521658270782</v>
      </c>
      <c r="J44" s="115"/>
    </row>
    <row r="45" spans="1:10" s="43" customFormat="1" ht="15.75" customHeight="1" x14ac:dyDescent="0.25">
      <c r="A45" s="125">
        <f t="shared" si="0"/>
        <v>2050</v>
      </c>
      <c r="B45" s="131">
        <f>IF($A45&lt;$B$5+$B$4,-LOOKUP($A45,Cot_droits!$A$17:$A$68,Cot_droits!$Q$17:$Q$68)/LOOKUP($A45,Barèmes!$A$65:$A$148,Barèmes!$G$65:$G$148),IF(AND($A45&gt;=$B$5+$B$4,$A45&lt;=INT($B$8)+$B$4-1),LOOKUP($A45,Retraite!$A$7:$A$47,Retraite!$K$7:$K$47)/LOOKUP($A45,Barèmes!$A$65:$A$148,Barèmes!$G$65:$G$148),IF($A45=INT($B$8+$B$4),(LOOKUP($A45,Retraite!$A$7:$A$47,Retraite!$K$7:$K$47)/LOOKUP($A45,Barèmes!$A$65:$A$148,Barèmes!$G$65:$G$148))*(1-(INT($B$8+1)-$B$8)),0)))</f>
        <v>-9643.5829209024723</v>
      </c>
      <c r="C45" s="121">
        <f>IF($A45&lt;$B$5+$B$4,-LOOKUP($A45,Cot_droits!$A$17:$A$68,Cot_droits!$Q$17:$Q$68)/LOOKUP($A45,Barèmes!$A$65:$A$148,Barèmes!$G$65:$G$148),IF(AND($A45&gt;=$B$5+$B$4,$A45&lt;=INT($B$8)-1+$B$4),LOOKUP($A45,Retraite!$A$7:$A$47,Retraite!N$7:$N$47)/LOOKUP($A45,Barèmes!$A$65:$A$148,Barèmes!$G$65:$G$148),IF($A45=INT($B$8+$B$4),(LOOKUP($A45,Retraite!$A$7:$A$47,Retraite!$N$7:$N$47)/LOOKUP($A45,Barèmes!$A$65:$A$148,Barèmes!$G$65:$G$148))*(1-(INT($B$8)+1-$B$8)),0)))</f>
        <v>-9643.5829209024723</v>
      </c>
      <c r="D45" s="115"/>
      <c r="E45" s="131">
        <f>IF($A45&lt;$B$5+$B$4,-(LOOKUP($A45,Cot_droits!$A$17:$A$68,Cot_droits!$H$17:$H$68)+LOOKUP($A45,Cot_droits!$A$17:$A$68,Cot_droits!$L$17:$L$68))/LOOKUP($A45,Barèmes!$A$65:$A$148,Barèmes!$G$65:$G$148),IF(AND($A45&gt;=$B$5+$B$4,$A45&lt;=INT($B$8)-1+$B$4),LOOKUP($A45,Retraite!$A$7:$A$47,Retraite!$L$7:$L$47)/LOOKUP($A45,Barèmes!$A$65:$A$148,Barèmes!$G$65:$G$148),IF($A45=INT($B$8+$B$4),(LOOKUP($A45,Retraite!$A$7:$A$47,Retraite!$L$7:$L$47)/LOOKUP($A45,Barèmes!$A$65:$A$148,Barèmes!$G$65:$G$148))*(1-(INT($B$8)+1-$B$8)),0)))</f>
        <v>-6163.0876663793078</v>
      </c>
      <c r="F45" s="121">
        <f>IF($A45&lt;$B$5+$B$4,-(LOOKUP($A45,Cot_droits!$A$17:$A$68,Cot_droits!$H$17:$H$68)+LOOKUP($A45,Cot_droits!$A$17:$A$68,Cot_droits!$L$17:$L$68))/LOOKUP($A45,Barèmes!$A$65:$A$148,Barèmes!$G$65:$G$148),IF(AND($A45&gt;=$B$5+$B$4,$A45&lt;=INT($B$8)-1+$B$4),LOOKUP($A45,Retraite!$A$7:$A$47,Retraite!$P$7:P$47)/LOOKUP($A45,Barèmes!$A$65:$A$148,Barèmes!$G$65:$G$148),IF($A45=INT($B$8+$B$4),(LOOKUP($A45,Retraite!$A$7:$A$47,Retraite!$P$7:$P$47)/LOOKUP($A45,Barèmes!$A$65:$A$148,Barèmes!$G$65:$G$148))*(1-(INT($B$8)+1-$B$8)),0)))</f>
        <v>-6163.0876663793078</v>
      </c>
      <c r="H45" s="131">
        <f>IF($A45&lt;$B$5+$B$4,-(LOOKUP($A45,Cot_droits!$A$17:$A$68,Cot_droits!$I$17:$I$68)+LOOKUP($A45,Cot_droits!$A$17:$A$68,Cot_droits!$J$17:$J$68)+LOOKUP($A45,Cot_droits!$A$17:$A$68,Cot_droits!$N$17:$N$68))/LOOKUP($A45,Barèmes!$A$65:$A$148,Barèmes!$G$65:$G$148),IF(AND($A45&gt;=$B$5+$B$4,$A45&lt;=INT($B$8)-1+$B$4),LOOKUP($A45,Retraite!$A$7:$A$47,Retraite!$M$7:$M$47)/LOOKUP($A45,Barèmes!$A$65:$A$148,Barèmes!$G$65:$G$148),IF($A45=INT($B$8+$B$4),(LOOKUP($A45,Retraite!$A$7:$A$47,Retraite!$M$7:$M$47)/LOOKUP($A45,Barèmes!$A$65:$A$148,Barèmes!$G$65:$G$148))*(1-(INT($B$8)+1-$B$8)),0)))</f>
        <v>-3480.4952545231658</v>
      </c>
      <c r="I45" s="121">
        <f>IF($A45&lt;$B$5+$B$4,-(LOOKUP($A45,Cot_droits!$A$17:$A$68,Cot_droits!$I$17:$I$68)+LOOKUP($A45,Cot_droits!$A$17:$A$68,Cot_droits!$J$17:$J$68)+LOOKUP($A45,Cot_droits!$A$17:$A$68,Cot_droits!$N$17:$N$68))/LOOKUP($A45,Barèmes!$A$65:$A$148,Barèmes!$G$65:$G$148),IF(AND($A45&gt;=$B$5+$B$4,$A45&lt;=INT($B$8)-1+$B$4),LOOKUP($A45,Retraite!$A$7:$A$47,Retraite!$Q$7:Q$47)/LOOKUP($A45,Barèmes!$A$65:$A$148,Barèmes!$G$65:$G$148),IF($A45=INT($B$8+$B$4),(LOOKUP($A45,Retraite!$A$7:$A$47,Retraite!$Q$7:$Q$47)/LOOKUP($A45,Barèmes!$A$65:$A$148,Barèmes!$G$65:$G$148))*(1-(INT($B$8)+1-$B$8)),0)))</f>
        <v>-3480.4952545231658</v>
      </c>
      <c r="J45" s="115"/>
    </row>
    <row r="46" spans="1:10" s="43" customFormat="1" ht="15.75" customHeight="1" x14ac:dyDescent="0.25">
      <c r="A46" s="125">
        <f t="shared" si="0"/>
        <v>2051</v>
      </c>
      <c r="B46" s="131">
        <f>IF($A46&lt;$B$5+$B$4,-LOOKUP($A46,Cot_droits!$A$17:$A$68,Cot_droits!$Q$17:$Q$68)/LOOKUP($A46,Barèmes!$A$65:$A$148,Barèmes!$G$65:$G$148),IF(AND($A46&gt;=$B$5+$B$4,$A46&lt;=INT($B$8)+$B$4-1),LOOKUP($A46,Retraite!$A$7:$A$47,Retraite!$K$7:$K$47)/LOOKUP($A46,Barèmes!$A$65:$A$148,Barèmes!$G$65:$G$148),IF($A46=INT($B$8+$B$4),(LOOKUP($A46,Retraite!$A$7:$A$47,Retraite!$K$7:$K$47)/LOOKUP($A46,Barèmes!$A$65:$A$148,Barèmes!$G$65:$G$148))*(1-(INT($B$8+1)-$B$8)),0)))</f>
        <v>-9648.7962652632996</v>
      </c>
      <c r="C46" s="121">
        <f>IF($A46&lt;$B$5+$B$4,-LOOKUP($A46,Cot_droits!$A$17:$A$68,Cot_droits!$Q$17:$Q$68)/LOOKUP($A46,Barèmes!$A$65:$A$148,Barèmes!$G$65:$G$148),IF(AND($A46&gt;=$B$5+$B$4,$A46&lt;=INT($B$8)-1+$B$4),LOOKUP($A46,Retraite!$A$7:$A$47,Retraite!N$7:$N$47)/LOOKUP($A46,Barèmes!$A$65:$A$148,Barèmes!$G$65:$G$148),IF($A46=INT($B$8+$B$4),(LOOKUP($A46,Retraite!$A$7:$A$47,Retraite!$N$7:$N$47)/LOOKUP($A46,Barèmes!$A$65:$A$148,Barèmes!$G$65:$G$148))*(1-(INT($B$8)+1-$B$8)),0)))</f>
        <v>-9648.7962652632996</v>
      </c>
      <c r="D46" s="115"/>
      <c r="E46" s="131">
        <f>IF($A46&lt;$B$5+$B$4,-(LOOKUP($A46,Cot_droits!$A$17:$A$68,Cot_droits!$H$17:$H$68)+LOOKUP($A46,Cot_droits!$A$17:$A$68,Cot_droits!$L$17:$L$68))/LOOKUP($A46,Barèmes!$A$65:$A$148,Barèmes!$G$65:$G$148),IF(AND($A46&gt;=$B$5+$B$4,$A46&lt;=INT($B$8)-1+$B$4),LOOKUP($A46,Retraite!$A$7:$A$47,Retraite!$L$7:$L$47)/LOOKUP($A46,Barèmes!$A$65:$A$148,Barèmes!$G$65:$G$148),IF($A46=INT($B$8+$B$4),(LOOKUP($A46,Retraite!$A$7:$A$47,Retraite!$L$7:$L$47)/LOOKUP($A46,Barèmes!$A$65:$A$148,Barèmes!$G$65:$G$148))*(1-(INT($B$8)+1-$B$8)),0)))</f>
        <v>-6166.4194465479795</v>
      </c>
      <c r="F46" s="121">
        <f>IF($A46&lt;$B$5+$B$4,-(LOOKUP($A46,Cot_droits!$A$17:$A$68,Cot_droits!$H$17:$H$68)+LOOKUP($A46,Cot_droits!$A$17:$A$68,Cot_droits!$L$17:$L$68))/LOOKUP($A46,Barèmes!$A$65:$A$148,Barèmes!$G$65:$G$148),IF(AND($A46&gt;=$B$5+$B$4,$A46&lt;=INT($B$8)-1+$B$4),LOOKUP($A46,Retraite!$A$7:$A$47,Retraite!$P$7:P$47)/LOOKUP($A46,Barèmes!$A$65:$A$148,Barèmes!$G$65:$G$148),IF($A46=INT($B$8+$B$4),(LOOKUP($A46,Retraite!$A$7:$A$47,Retraite!$P$7:$P$47)/LOOKUP($A46,Barèmes!$A$65:$A$148,Barèmes!$G$65:$G$148))*(1-(INT($B$8)+1-$B$8)),0)))</f>
        <v>-6166.4194465479795</v>
      </c>
      <c r="H46" s="131">
        <f>IF($A46&lt;$B$5+$B$4,-(LOOKUP($A46,Cot_droits!$A$17:$A$68,Cot_droits!$I$17:$I$68)+LOOKUP($A46,Cot_droits!$A$17:$A$68,Cot_droits!$J$17:$J$68)+LOOKUP($A46,Cot_droits!$A$17:$A$68,Cot_droits!$N$17:$N$68))/LOOKUP($A46,Barèmes!$A$65:$A$148,Barèmes!$G$65:$G$148),IF(AND($A46&gt;=$B$5+$B$4,$A46&lt;=INT($B$8)-1+$B$4),LOOKUP($A46,Retraite!$A$7:$A$47,Retraite!$M$7:$M$47)/LOOKUP($A46,Barèmes!$A$65:$A$148,Barèmes!$G$65:$G$148),IF($A46=INT($B$8+$B$4),(LOOKUP($A46,Retraite!$A$7:$A$47,Retraite!$M$7:$M$47)/LOOKUP($A46,Barèmes!$A$65:$A$148,Barèmes!$G$65:$G$148))*(1-(INT($B$8)+1-$B$8)),0)))</f>
        <v>-3482.376818715321</v>
      </c>
      <c r="I46" s="121">
        <f>IF($A46&lt;$B$5+$B$4,-(LOOKUP($A46,Cot_droits!$A$17:$A$68,Cot_droits!$I$17:$I$68)+LOOKUP($A46,Cot_droits!$A$17:$A$68,Cot_droits!$J$17:$J$68)+LOOKUP($A46,Cot_droits!$A$17:$A$68,Cot_droits!$N$17:$N$68))/LOOKUP($A46,Barèmes!$A$65:$A$148,Barèmes!$G$65:$G$148),IF(AND($A46&gt;=$B$5+$B$4,$A46&lt;=INT($B$8)-1+$B$4),LOOKUP($A46,Retraite!$A$7:$A$47,Retraite!$Q$7:Q$47)/LOOKUP($A46,Barèmes!$A$65:$A$148,Barèmes!$G$65:$G$148),IF($A46=INT($B$8+$B$4),(LOOKUP($A46,Retraite!$A$7:$A$47,Retraite!$Q$7:$Q$47)/LOOKUP($A46,Barèmes!$A$65:$A$148,Barèmes!$G$65:$G$148))*(1-(INT($B$8)+1-$B$8)),0)))</f>
        <v>-3482.376818715321</v>
      </c>
      <c r="J46" s="115"/>
    </row>
    <row r="47" spans="1:10" s="43" customFormat="1" ht="15.75" customHeight="1" x14ac:dyDescent="0.25">
      <c r="A47" s="125">
        <f t="shared" si="0"/>
        <v>2052</v>
      </c>
      <c r="B47" s="131">
        <f>IF($A47&lt;$B$5+$B$4,-LOOKUP($A47,Cot_droits!$A$17:$A$68,Cot_droits!$Q$17:$Q$68)/LOOKUP($A47,Barèmes!$A$65:$A$148,Barèmes!$G$65:$G$148),IF(AND($A47&gt;=$B$5+$B$4,$A47&lt;=INT($B$8)+$B$4-1),LOOKUP($A47,Retraite!$A$7:$A$47,Retraite!$K$7:$K$47)/LOOKUP($A47,Barèmes!$A$65:$A$148,Barèmes!$G$65:$G$148),IF($A47=INT($B$8+$B$4),(LOOKUP($A47,Retraite!$A$7:$A$47,Retraite!$K$7:$K$47)/LOOKUP($A47,Barèmes!$A$65:$A$148,Barèmes!$G$65:$G$148))*(1-(INT($B$8+1)-$B$8)),0)))</f>
        <v>-9486.5205185887535</v>
      </c>
      <c r="C47" s="121">
        <f>IF($A47&lt;$B$5+$B$4,-LOOKUP($A47,Cot_droits!$A$17:$A$68,Cot_droits!$Q$17:$Q$68)/LOOKUP($A47,Barèmes!$A$65:$A$148,Barèmes!$G$65:$G$148),IF(AND($A47&gt;=$B$5+$B$4,$A47&lt;=INT($B$8)-1+$B$4),LOOKUP($A47,Retraite!$A$7:$A$47,Retraite!N$7:$N$47)/LOOKUP($A47,Barèmes!$A$65:$A$148,Barèmes!$G$65:$G$148),IF($A47=INT($B$8+$B$4),(LOOKUP($A47,Retraite!$A$7:$A$47,Retraite!$N$7:$N$47)/LOOKUP($A47,Barèmes!$A$65:$A$148,Barèmes!$G$65:$G$148))*(1-(INT($B$8)+1-$B$8)),0)))</f>
        <v>-9486.5205185887535</v>
      </c>
      <c r="D47" s="115"/>
      <c r="E47" s="131">
        <f>IF($A47&lt;$B$5+$B$4,-(LOOKUP($A47,Cot_droits!$A$17:$A$68,Cot_droits!$H$17:$H$68)+LOOKUP($A47,Cot_droits!$A$17:$A$68,Cot_droits!$L$17:$L$68))/LOOKUP($A47,Barèmes!$A$65:$A$148,Barèmes!$G$65:$G$148),IF(AND($A47&gt;=$B$5+$B$4,$A47&lt;=INT($B$8)-1+$B$4),LOOKUP($A47,Retraite!$A$7:$A$47,Retraite!$L$7:$L$47)/LOOKUP($A47,Barèmes!$A$65:$A$148,Barèmes!$G$65:$G$148),IF($A47=INT($B$8+$B$4),(LOOKUP($A47,Retraite!$A$7:$A$47,Retraite!$L$7:$L$47)/LOOKUP($A47,Barèmes!$A$65:$A$148,Barèmes!$G$65:$G$148))*(1-(INT($B$8)+1-$B$8)),0)))</f>
        <v>-6062.7111400932663</v>
      </c>
      <c r="F47" s="121">
        <f>IF($A47&lt;$B$5+$B$4,-(LOOKUP($A47,Cot_droits!$A$17:$A$68,Cot_droits!$H$17:$H$68)+LOOKUP($A47,Cot_droits!$A$17:$A$68,Cot_droits!$L$17:$L$68))/LOOKUP($A47,Barèmes!$A$65:$A$148,Barèmes!$G$65:$G$148),IF(AND($A47&gt;=$B$5+$B$4,$A47&lt;=INT($B$8)-1+$B$4),LOOKUP($A47,Retraite!$A$7:$A$47,Retraite!$P$7:P$47)/LOOKUP($A47,Barèmes!$A$65:$A$148,Barèmes!$G$65:$G$148),IF($A47=INT($B$8+$B$4),(LOOKUP($A47,Retraite!$A$7:$A$47,Retraite!$P$7:$P$47)/LOOKUP($A47,Barèmes!$A$65:$A$148,Barèmes!$G$65:$G$148))*(1-(INT($B$8)+1-$B$8)),0)))</f>
        <v>-6062.7111400932663</v>
      </c>
      <c r="H47" s="131">
        <f>IF($A47&lt;$B$5+$B$4,-(LOOKUP($A47,Cot_droits!$A$17:$A$68,Cot_droits!$I$17:$I$68)+LOOKUP($A47,Cot_droits!$A$17:$A$68,Cot_droits!$J$17:$J$68)+LOOKUP($A47,Cot_droits!$A$17:$A$68,Cot_droits!$N$17:$N$68))/LOOKUP($A47,Barèmes!$A$65:$A$148,Barèmes!$G$65:$G$148),IF(AND($A47&gt;=$B$5+$B$4,$A47&lt;=INT($B$8)-1+$B$4),LOOKUP($A47,Retraite!$A$7:$A$47,Retraite!$M$7:$M$47)/LOOKUP($A47,Barèmes!$A$65:$A$148,Barèmes!$G$65:$G$148),IF($A47=INT($B$8+$B$4),(LOOKUP($A47,Retraite!$A$7:$A$47,Retraite!$M$7:$M$47)/LOOKUP($A47,Barèmes!$A$65:$A$148,Barèmes!$G$65:$G$148))*(1-(INT($B$8)+1-$B$8)),0)))</f>
        <v>-3423.8093784954876</v>
      </c>
      <c r="I47" s="121">
        <f>IF($A47&lt;$B$5+$B$4,-(LOOKUP($A47,Cot_droits!$A$17:$A$68,Cot_droits!$I$17:$I$68)+LOOKUP($A47,Cot_droits!$A$17:$A$68,Cot_droits!$J$17:$J$68)+LOOKUP($A47,Cot_droits!$A$17:$A$68,Cot_droits!$N$17:$N$68))/LOOKUP($A47,Barèmes!$A$65:$A$148,Barèmes!$G$65:$G$148),IF(AND($A47&gt;=$B$5+$B$4,$A47&lt;=INT($B$8)-1+$B$4),LOOKUP($A47,Retraite!$A$7:$A$47,Retraite!$Q$7:Q$47)/LOOKUP($A47,Barèmes!$A$65:$A$148,Barèmes!$G$65:$G$148),IF($A47=INT($B$8+$B$4),(LOOKUP($A47,Retraite!$A$7:$A$47,Retraite!$Q$7:$Q$47)/LOOKUP($A47,Barèmes!$A$65:$A$148,Barèmes!$G$65:$G$148))*(1-(INT($B$8)+1-$B$8)),0)))</f>
        <v>-3423.8093784954876</v>
      </c>
      <c r="J47" s="115"/>
    </row>
    <row r="48" spans="1:10" s="43" customFormat="1" ht="15.75" customHeight="1" x14ac:dyDescent="0.25">
      <c r="A48" s="125">
        <f t="shared" si="0"/>
        <v>2053</v>
      </c>
      <c r="B48" s="131">
        <f>IF($A48&lt;$B$5+$B$4,-LOOKUP($A48,Cot_droits!$A$17:$A$68,Cot_droits!$Q$17:$Q$68)/LOOKUP($A48,Barèmes!$A$65:$A$148,Barèmes!$G$65:$G$148),IF(AND($A48&gt;=$B$5+$B$4,$A48&lt;=INT($B$8)+$B$4-1),LOOKUP($A48,Retraite!$A$7:$A$47,Retraite!$K$7:$K$47)/LOOKUP($A48,Barèmes!$A$65:$A$148,Barèmes!$G$65:$G$148),IF($A48=INT($B$8+$B$4),(LOOKUP($A48,Retraite!$A$7:$A$47,Retraite!$K$7:$K$47)/LOOKUP($A48,Barèmes!$A$65:$A$148,Barèmes!$G$65:$G$148))*(1-(INT($B$8+1)-$B$8)),0)))</f>
        <v>-9467.5111301533143</v>
      </c>
      <c r="C48" s="121">
        <f>IF($A48&lt;$B$5+$B$4,-LOOKUP($A48,Cot_droits!$A$17:$A$68,Cot_droits!$Q$17:$Q$68)/LOOKUP($A48,Barèmes!$A$65:$A$148,Barèmes!$G$65:$G$148),IF(AND($A48&gt;=$B$5+$B$4,$A48&lt;=INT($B$8)-1+$B$4),LOOKUP($A48,Retraite!$A$7:$A$47,Retraite!N$7:$N$47)/LOOKUP($A48,Barèmes!$A$65:$A$148,Barèmes!$G$65:$G$148),IF($A48=INT($B$8+$B$4),(LOOKUP($A48,Retraite!$A$7:$A$47,Retraite!$N$7:$N$47)/LOOKUP($A48,Barèmes!$A$65:$A$148,Barèmes!$G$65:$G$148))*(1-(INT($B$8)+1-$B$8)),0)))</f>
        <v>-9467.5111301533143</v>
      </c>
      <c r="D48" s="115"/>
      <c r="E48" s="131">
        <f>IF($A48&lt;$B$5+$B$4,-(LOOKUP($A48,Cot_droits!$A$17:$A$68,Cot_droits!$H$17:$H$68)+LOOKUP($A48,Cot_droits!$A$17:$A$68,Cot_droits!$L$17:$L$68))/LOOKUP($A48,Barèmes!$A$65:$A$148,Barèmes!$G$65:$G$148),IF(AND($A48&gt;=$B$5+$B$4,$A48&lt;=INT($B$8)-1+$B$4),LOOKUP($A48,Retraite!$A$7:$A$47,Retraite!$L$7:$L$47)/LOOKUP($A48,Barèmes!$A$65:$A$148,Barèmes!$G$65:$G$148),IF($A48=INT($B$8+$B$4),(LOOKUP($A48,Retraite!$A$7:$A$47,Retraite!$L$7:$L$47)/LOOKUP($A48,Barèmes!$A$65:$A$148,Barèmes!$G$65:$G$148))*(1-(INT($B$8)+1-$B$8)),0)))</f>
        <v>-6050.5624886664273</v>
      </c>
      <c r="F48" s="121">
        <f>IF($A48&lt;$B$5+$B$4,-(LOOKUP($A48,Cot_droits!$A$17:$A$68,Cot_droits!$H$17:$H$68)+LOOKUP($A48,Cot_droits!$A$17:$A$68,Cot_droits!$L$17:$L$68))/LOOKUP($A48,Barèmes!$A$65:$A$148,Barèmes!$G$65:$G$148),IF(AND($A48&gt;=$B$5+$B$4,$A48&lt;=INT($B$8)-1+$B$4),LOOKUP($A48,Retraite!$A$7:$A$47,Retraite!$P$7:P$47)/LOOKUP($A48,Barèmes!$A$65:$A$148,Barèmes!$G$65:$G$148),IF($A48=INT($B$8+$B$4),(LOOKUP($A48,Retraite!$A$7:$A$47,Retraite!$P$7:$P$47)/LOOKUP($A48,Barèmes!$A$65:$A$148,Barèmes!$G$65:$G$148))*(1-(INT($B$8)+1-$B$8)),0)))</f>
        <v>-6050.5624886664273</v>
      </c>
      <c r="H48" s="131">
        <f>IF($A48&lt;$B$5+$B$4,-(LOOKUP($A48,Cot_droits!$A$17:$A$68,Cot_droits!$I$17:$I$68)+LOOKUP($A48,Cot_droits!$A$17:$A$68,Cot_droits!$J$17:$J$68)+LOOKUP($A48,Cot_droits!$A$17:$A$68,Cot_droits!$N$17:$N$68))/LOOKUP($A48,Barèmes!$A$65:$A$148,Barèmes!$G$65:$G$148),IF(AND($A48&gt;=$B$5+$B$4,$A48&lt;=INT($B$8)-1+$B$4),LOOKUP($A48,Retraite!$A$7:$A$47,Retraite!$M$7:$M$47)/LOOKUP($A48,Barèmes!$A$65:$A$148,Barèmes!$G$65:$G$148),IF($A48=INT($B$8+$B$4),(LOOKUP($A48,Retraite!$A$7:$A$47,Retraite!$M$7:$M$47)/LOOKUP($A48,Barèmes!$A$65:$A$148,Barèmes!$G$65:$G$148))*(1-(INT($B$8)+1-$B$8)),0)))</f>
        <v>-3416.9486414868888</v>
      </c>
      <c r="I48" s="121">
        <f>IF($A48&lt;$B$5+$B$4,-(LOOKUP($A48,Cot_droits!$A$17:$A$68,Cot_droits!$I$17:$I$68)+LOOKUP($A48,Cot_droits!$A$17:$A$68,Cot_droits!$J$17:$J$68)+LOOKUP($A48,Cot_droits!$A$17:$A$68,Cot_droits!$N$17:$N$68))/LOOKUP($A48,Barèmes!$A$65:$A$148,Barèmes!$G$65:$G$148),IF(AND($A48&gt;=$B$5+$B$4,$A48&lt;=INT($B$8)-1+$B$4),LOOKUP($A48,Retraite!$A$7:$A$47,Retraite!$Q$7:Q$47)/LOOKUP($A48,Barèmes!$A$65:$A$148,Barèmes!$G$65:$G$148),IF($A48=INT($B$8+$B$4),(LOOKUP($A48,Retraite!$A$7:$A$47,Retraite!$Q$7:$Q$47)/LOOKUP($A48,Barèmes!$A$65:$A$148,Barèmes!$G$65:$G$148))*(1-(INT($B$8)+1-$B$8)),0)))</f>
        <v>-3416.9486414868888</v>
      </c>
      <c r="J48" s="115"/>
    </row>
    <row r="49" spans="1:10" s="43" customFormat="1" ht="15.75" customHeight="1" x14ac:dyDescent="0.25">
      <c r="A49" s="125">
        <f t="shared" si="0"/>
        <v>2054</v>
      </c>
      <c r="B49" s="131">
        <f>IF($A49&lt;$B$5+$B$4,-LOOKUP($A49,Cot_droits!$A$17:$A$68,Cot_droits!$Q$17:$Q$68)/LOOKUP($A49,Barèmes!$A$65:$A$148,Barèmes!$G$65:$G$148),IF(AND($A49&gt;=$B$5+$B$4,$A49&lt;=INT($B$8)+$B$4-1),LOOKUP($A49,Retraite!$A$7:$A$47,Retraite!$K$7:$K$47)/LOOKUP($A49,Barèmes!$A$65:$A$148,Barèmes!$G$65:$G$148),IF($A49=INT($B$8+$B$4),(LOOKUP($A49,Retraite!$A$7:$A$47,Retraite!$K$7:$K$47)/LOOKUP($A49,Barèmes!$A$65:$A$148,Barèmes!$G$65:$G$148))*(1-(INT($B$8+1)-$B$8)),0)))</f>
        <v>-9363.847092566637</v>
      </c>
      <c r="C49" s="121">
        <f>IF($A49&lt;$B$5+$B$4,-LOOKUP($A49,Cot_droits!$A$17:$A$68,Cot_droits!$Q$17:$Q$68)/LOOKUP($A49,Barèmes!$A$65:$A$148,Barèmes!$G$65:$G$148),IF(AND($A49&gt;=$B$5+$B$4,$A49&lt;=INT($B$8)-1+$B$4),LOOKUP($A49,Retraite!$A$7:$A$47,Retraite!N$7:$N$47)/LOOKUP($A49,Barèmes!$A$65:$A$148,Barèmes!$G$65:$G$148),IF($A49=INT($B$8+$B$4),(LOOKUP($A49,Retraite!$A$7:$A$47,Retraite!$N$7:$N$47)/LOOKUP($A49,Barèmes!$A$65:$A$148,Barèmes!$G$65:$G$148))*(1-(INT($B$8)+1-$B$8)),0)))</f>
        <v>-9363.847092566637</v>
      </c>
      <c r="D49" s="115"/>
      <c r="E49" s="131">
        <f>IF($A49&lt;$B$5+$B$4,-(LOOKUP($A49,Cot_droits!$A$17:$A$68,Cot_droits!$H$17:$H$68)+LOOKUP($A49,Cot_droits!$A$17:$A$68,Cot_droits!$L$17:$L$68))/LOOKUP($A49,Barèmes!$A$65:$A$148,Barèmes!$G$65:$G$148),IF(AND($A49&gt;=$B$5+$B$4,$A49&lt;=INT($B$8)-1+$B$4),LOOKUP($A49,Retraite!$A$7:$A$47,Retraite!$L$7:$L$47)/LOOKUP($A49,Barèmes!$A$65:$A$148,Barèmes!$G$65:$G$148),IF($A49=INT($B$8+$B$4),(LOOKUP($A49,Retraite!$A$7:$A$47,Retraite!$L$7:$L$47)/LOOKUP($A49,Barèmes!$A$65:$A$148,Barèmes!$G$65:$G$148))*(1-(INT($B$8)+1-$B$8)),0)))</f>
        <v>-5984.3121586036505</v>
      </c>
      <c r="F49" s="121">
        <f>IF($A49&lt;$B$5+$B$4,-(LOOKUP($A49,Cot_droits!$A$17:$A$68,Cot_droits!$H$17:$H$68)+LOOKUP($A49,Cot_droits!$A$17:$A$68,Cot_droits!$L$17:$L$68))/LOOKUP($A49,Barèmes!$A$65:$A$148,Barèmes!$G$65:$G$148),IF(AND($A49&gt;=$B$5+$B$4,$A49&lt;=INT($B$8)-1+$B$4),LOOKUP($A49,Retraite!$A$7:$A$47,Retraite!$P$7:P$47)/LOOKUP($A49,Barèmes!$A$65:$A$148,Barèmes!$G$65:$G$148),IF($A49=INT($B$8+$B$4),(LOOKUP($A49,Retraite!$A$7:$A$47,Retraite!$P$7:$P$47)/LOOKUP($A49,Barèmes!$A$65:$A$148,Barèmes!$G$65:$G$148))*(1-(INT($B$8)+1-$B$8)),0)))</f>
        <v>-5984.3121586036505</v>
      </c>
      <c r="H49" s="131">
        <f>IF($A49&lt;$B$5+$B$4,-(LOOKUP($A49,Cot_droits!$A$17:$A$68,Cot_droits!$I$17:$I$68)+LOOKUP($A49,Cot_droits!$A$17:$A$68,Cot_droits!$J$17:$J$68)+LOOKUP($A49,Cot_droits!$A$17:$A$68,Cot_droits!$N$17:$N$68))/LOOKUP($A49,Barèmes!$A$65:$A$148,Barèmes!$G$65:$G$148),IF(AND($A49&gt;=$B$5+$B$4,$A49&lt;=INT($B$8)-1+$B$4),LOOKUP($A49,Retraite!$A$7:$A$47,Retraite!$M$7:$M$47)/LOOKUP($A49,Barèmes!$A$65:$A$148,Barèmes!$G$65:$G$148),IF($A49=INT($B$8+$B$4),(LOOKUP($A49,Retraite!$A$7:$A$47,Retraite!$M$7:$M$47)/LOOKUP($A49,Barèmes!$A$65:$A$148,Barèmes!$G$65:$G$148))*(1-(INT($B$8)+1-$B$8)),0)))</f>
        <v>-3379.5349339629861</v>
      </c>
      <c r="I49" s="121">
        <f>IF($A49&lt;$B$5+$B$4,-(LOOKUP($A49,Cot_droits!$A$17:$A$68,Cot_droits!$I$17:$I$68)+LOOKUP($A49,Cot_droits!$A$17:$A$68,Cot_droits!$J$17:$J$68)+LOOKUP($A49,Cot_droits!$A$17:$A$68,Cot_droits!$N$17:$N$68))/LOOKUP($A49,Barèmes!$A$65:$A$148,Barèmes!$G$65:$G$148),IF(AND($A49&gt;=$B$5+$B$4,$A49&lt;=INT($B$8)-1+$B$4),LOOKUP($A49,Retraite!$A$7:$A$47,Retraite!$Q$7:Q$47)/LOOKUP($A49,Barèmes!$A$65:$A$148,Barèmes!$G$65:$G$148),IF($A49=INT($B$8+$B$4),(LOOKUP($A49,Retraite!$A$7:$A$47,Retraite!$Q$7:$Q$47)/LOOKUP($A49,Barèmes!$A$65:$A$148,Barèmes!$G$65:$G$148))*(1-(INT($B$8)+1-$B$8)),0)))</f>
        <v>-3379.5349339629861</v>
      </c>
      <c r="J49" s="115"/>
    </row>
    <row r="50" spans="1:10" s="43" customFormat="1" ht="15.75" customHeight="1" x14ac:dyDescent="0.25">
      <c r="A50" s="125">
        <f t="shared" si="0"/>
        <v>2055</v>
      </c>
      <c r="B50" s="131">
        <f>IF($A50&lt;$B$5+$B$4,-LOOKUP($A50,Cot_droits!$A$17:$A$68,Cot_droits!$Q$17:$Q$68)/LOOKUP($A50,Barèmes!$A$65:$A$148,Barèmes!$G$65:$G$148),IF(AND($A50&gt;=$B$5+$B$4,$A50&lt;=INT($B$8)+$B$4-1),LOOKUP($A50,Retraite!$A$7:$A$47,Retraite!$K$7:$K$47)/LOOKUP($A50,Barèmes!$A$65:$A$148,Barèmes!$G$65:$G$148),IF($A50=INT($B$8+$B$4),(LOOKUP($A50,Retraite!$A$7:$A$47,Retraite!$K$7:$K$47)/LOOKUP($A50,Barèmes!$A$65:$A$148,Barèmes!$G$65:$G$148))*(1-(INT($B$8+1)-$B$8)),0)))</f>
        <v>-9369.0045818295039</v>
      </c>
      <c r="C50" s="121">
        <f>IF($A50&lt;$B$5+$B$4,-LOOKUP($A50,Cot_droits!$A$17:$A$68,Cot_droits!$Q$17:$Q$68)/LOOKUP($A50,Barèmes!$A$65:$A$148,Barèmes!$G$65:$G$148),IF(AND($A50&gt;=$B$5+$B$4,$A50&lt;=INT($B$8)-1+$B$4),LOOKUP($A50,Retraite!$A$7:$A$47,Retraite!N$7:$N$47)/LOOKUP($A50,Barèmes!$A$65:$A$148,Barèmes!$G$65:$G$148),IF($A50=INT($B$8+$B$4),(LOOKUP($A50,Retraite!$A$7:$A$47,Retraite!$N$7:$N$47)/LOOKUP($A50,Barèmes!$A$65:$A$148,Barèmes!$G$65:$G$148))*(1-(INT($B$8)+1-$B$8)),0)))</f>
        <v>-9369.0045818295039</v>
      </c>
      <c r="D50" s="115"/>
      <c r="E50" s="131">
        <f>IF($A50&lt;$B$5+$B$4,-(LOOKUP($A50,Cot_droits!$A$17:$A$68,Cot_droits!$H$17:$H$68)+LOOKUP($A50,Cot_droits!$A$17:$A$68,Cot_droits!$L$17:$L$68))/LOOKUP($A50,Barèmes!$A$65:$A$148,Barèmes!$G$65:$G$148),IF(AND($A50&gt;=$B$5+$B$4,$A50&lt;=INT($B$8)-1+$B$4),LOOKUP($A50,Retraite!$A$7:$A$47,Retraite!$L$7:$L$47)/LOOKUP($A50,Barèmes!$A$65:$A$148,Barèmes!$G$65:$G$148),IF($A50=INT($B$8+$B$4),(LOOKUP($A50,Retraite!$A$7:$A$47,Retraite!$L$7:$L$47)/LOOKUP($A50,Barèmes!$A$65:$A$148,Barèmes!$G$65:$G$148))*(1-(INT($B$8)+1-$B$8)),0)))</f>
        <v>-5987.6082425100349</v>
      </c>
      <c r="F50" s="121">
        <f>IF($A50&lt;$B$5+$B$4,-(LOOKUP($A50,Cot_droits!$A$17:$A$68,Cot_droits!$H$17:$H$68)+LOOKUP($A50,Cot_droits!$A$17:$A$68,Cot_droits!$L$17:$L$68))/LOOKUP($A50,Barèmes!$A$65:$A$148,Barèmes!$G$65:$G$148),IF(AND($A50&gt;=$B$5+$B$4,$A50&lt;=INT($B$8)-1+$B$4),LOOKUP($A50,Retraite!$A$7:$A$47,Retraite!$P$7:P$47)/LOOKUP($A50,Barèmes!$A$65:$A$148,Barèmes!$G$65:$G$148),IF($A50=INT($B$8+$B$4),(LOOKUP($A50,Retraite!$A$7:$A$47,Retraite!$P$7:$P$47)/LOOKUP($A50,Barèmes!$A$65:$A$148,Barèmes!$G$65:$G$148))*(1-(INT($B$8)+1-$B$8)),0)))</f>
        <v>-5987.6082425100349</v>
      </c>
      <c r="H50" s="131">
        <f>IF($A50&lt;$B$5+$B$4,-(LOOKUP($A50,Cot_droits!$A$17:$A$68,Cot_droits!$I$17:$I$68)+LOOKUP($A50,Cot_droits!$A$17:$A$68,Cot_droits!$J$17:$J$68)+LOOKUP($A50,Cot_droits!$A$17:$A$68,Cot_droits!$N$17:$N$68))/LOOKUP($A50,Barèmes!$A$65:$A$148,Barèmes!$G$65:$G$148),IF(AND($A50&gt;=$B$5+$B$4,$A50&lt;=INT($B$8)-1+$B$4),LOOKUP($A50,Retraite!$A$7:$A$47,Retraite!$M$7:$M$47)/LOOKUP($A50,Barèmes!$A$65:$A$148,Barèmes!$G$65:$G$148),IF($A50=INT($B$8+$B$4),(LOOKUP($A50,Retraite!$A$7:$A$47,Retraite!$M$7:$M$47)/LOOKUP($A50,Barèmes!$A$65:$A$148,Barèmes!$G$65:$G$148))*(1-(INT($B$8)+1-$B$8)),0)))</f>
        <v>-3381.3963393194695</v>
      </c>
      <c r="I50" s="121">
        <f>IF($A50&lt;$B$5+$B$4,-(LOOKUP($A50,Cot_droits!$A$17:$A$68,Cot_droits!$I$17:$I$68)+LOOKUP($A50,Cot_droits!$A$17:$A$68,Cot_droits!$J$17:$J$68)+LOOKUP($A50,Cot_droits!$A$17:$A$68,Cot_droits!$N$17:$N$68))/LOOKUP($A50,Barèmes!$A$65:$A$148,Barèmes!$G$65:$G$148),IF(AND($A50&gt;=$B$5+$B$4,$A50&lt;=INT($B$8)-1+$B$4),LOOKUP($A50,Retraite!$A$7:$A$47,Retraite!$Q$7:Q$47)/LOOKUP($A50,Barèmes!$A$65:$A$148,Barèmes!$G$65:$G$148),IF($A50=INT($B$8+$B$4),(LOOKUP($A50,Retraite!$A$7:$A$47,Retraite!$Q$7:$Q$47)/LOOKUP($A50,Barèmes!$A$65:$A$148,Barèmes!$G$65:$G$148))*(1-(INT($B$8)+1-$B$8)),0)))</f>
        <v>-3381.3963393194695</v>
      </c>
      <c r="J50" s="115"/>
    </row>
    <row r="51" spans="1:10" s="43" customFormat="1" ht="15.75" customHeight="1" x14ac:dyDescent="0.25">
      <c r="A51" s="125">
        <f t="shared" si="0"/>
        <v>2056</v>
      </c>
      <c r="B51" s="131">
        <f>IF($A51&lt;$B$5+$B$4,-LOOKUP($A51,Cot_droits!$A$17:$A$68,Cot_droits!$Q$17:$Q$68)/LOOKUP($A51,Barèmes!$A$65:$A$148,Barèmes!$G$65:$G$148),IF(AND($A51&gt;=$B$5+$B$4,$A51&lt;=INT($B$8)+$B$4-1),LOOKUP($A51,Retraite!$A$7:$A$47,Retraite!$K$7:$K$47)/LOOKUP($A51,Barèmes!$A$65:$A$148,Barèmes!$G$65:$G$148),IF($A51=INT($B$8+$B$4),(LOOKUP($A51,Retraite!$A$7:$A$47,Retraite!$K$7:$K$47)/LOOKUP($A51,Barèmes!$A$65:$A$148,Barèmes!$G$65:$G$148))*(1-(INT($B$8+1)-$B$8)),0)))</f>
        <v>-9191.8116913552603</v>
      </c>
      <c r="C51" s="121">
        <f>IF($A51&lt;$B$5+$B$4,-LOOKUP($A51,Cot_droits!$A$17:$A$68,Cot_droits!$Q$17:$Q$68)/LOOKUP($A51,Barèmes!$A$65:$A$148,Barèmes!$G$65:$G$148),IF(AND($A51&gt;=$B$5+$B$4,$A51&lt;=INT($B$8)-1+$B$4),LOOKUP($A51,Retraite!$A$7:$A$47,Retraite!N$7:$N$47)/LOOKUP($A51,Barèmes!$A$65:$A$148,Barèmes!$G$65:$G$148),IF($A51=INT($B$8+$B$4),(LOOKUP($A51,Retraite!$A$7:$A$47,Retraite!$N$7:$N$47)/LOOKUP($A51,Barèmes!$A$65:$A$148,Barèmes!$G$65:$G$148))*(1-(INT($B$8)+1-$B$8)),0)))</f>
        <v>-9191.8116913552603</v>
      </c>
      <c r="D51" s="115"/>
      <c r="E51" s="131">
        <f>IF($A51&lt;$B$5+$B$4,-(LOOKUP($A51,Cot_droits!$A$17:$A$68,Cot_droits!$H$17:$H$68)+LOOKUP($A51,Cot_droits!$A$17:$A$68,Cot_droits!$L$17:$L$68))/LOOKUP($A51,Barèmes!$A$65:$A$148,Barèmes!$G$65:$G$148),IF(AND($A51&gt;=$B$5+$B$4,$A51&lt;=INT($B$8)-1+$B$4),LOOKUP($A51,Retraite!$A$7:$A$47,Retraite!$L$7:$L$47)/LOOKUP($A51,Barèmes!$A$65:$A$148,Barèmes!$G$65:$G$148),IF($A51=INT($B$8+$B$4),(LOOKUP($A51,Retraite!$A$7:$A$47,Retraite!$L$7:$L$47)/LOOKUP($A51,Barèmes!$A$65:$A$148,Barèmes!$G$65:$G$148))*(1-(INT($B$8)+1-$B$8)),0)))</f>
        <v>-5874.3665846315216</v>
      </c>
      <c r="F51" s="121">
        <f>IF($A51&lt;$B$5+$B$4,-(LOOKUP($A51,Cot_droits!$A$17:$A$68,Cot_droits!$H$17:$H$68)+LOOKUP($A51,Cot_droits!$A$17:$A$68,Cot_droits!$L$17:$L$68))/LOOKUP($A51,Barèmes!$A$65:$A$148,Barèmes!$G$65:$G$148),IF(AND($A51&gt;=$B$5+$B$4,$A51&lt;=INT($B$8)-1+$B$4),LOOKUP($A51,Retraite!$A$7:$A$47,Retraite!$P$7:P$47)/LOOKUP($A51,Barèmes!$A$65:$A$148,Barèmes!$G$65:$G$148),IF($A51=INT($B$8+$B$4),(LOOKUP($A51,Retraite!$A$7:$A$47,Retraite!$P$7:$P$47)/LOOKUP($A51,Barèmes!$A$65:$A$148,Barèmes!$G$65:$G$148))*(1-(INT($B$8)+1-$B$8)),0)))</f>
        <v>-5874.3665846315216</v>
      </c>
      <c r="H51" s="131">
        <f>IF($A51&lt;$B$5+$B$4,-(LOOKUP($A51,Cot_droits!$A$17:$A$68,Cot_droits!$I$17:$I$68)+LOOKUP($A51,Cot_droits!$A$17:$A$68,Cot_droits!$J$17:$J$68)+LOOKUP($A51,Cot_droits!$A$17:$A$68,Cot_droits!$N$17:$N$68))/LOOKUP($A51,Barèmes!$A$65:$A$148,Barèmes!$G$65:$G$148),IF(AND($A51&gt;=$B$5+$B$4,$A51&lt;=INT($B$8)-1+$B$4),LOOKUP($A51,Retraite!$A$7:$A$47,Retraite!$M$7:$M$47)/LOOKUP($A51,Barèmes!$A$65:$A$148,Barèmes!$G$65:$G$148),IF($A51=INT($B$8+$B$4),(LOOKUP($A51,Retraite!$A$7:$A$47,Retraite!$M$7:$M$47)/LOOKUP($A51,Barèmes!$A$65:$A$148,Barèmes!$G$65:$G$148))*(1-(INT($B$8)+1-$B$8)),0)))</f>
        <v>-3317.4451067237396</v>
      </c>
      <c r="I51" s="121">
        <f>IF($A51&lt;$B$5+$B$4,-(LOOKUP($A51,Cot_droits!$A$17:$A$68,Cot_droits!$I$17:$I$68)+LOOKUP($A51,Cot_droits!$A$17:$A$68,Cot_droits!$J$17:$J$68)+LOOKUP($A51,Cot_droits!$A$17:$A$68,Cot_droits!$N$17:$N$68))/LOOKUP($A51,Barèmes!$A$65:$A$148,Barèmes!$G$65:$G$148),IF(AND($A51&gt;=$B$5+$B$4,$A51&lt;=INT($B$8)-1+$B$4),LOOKUP($A51,Retraite!$A$7:$A$47,Retraite!$Q$7:Q$47)/LOOKUP($A51,Barèmes!$A$65:$A$148,Barèmes!$G$65:$G$148),IF($A51=INT($B$8+$B$4),(LOOKUP($A51,Retraite!$A$7:$A$47,Retraite!$Q$7:$Q$47)/LOOKUP($A51,Barèmes!$A$65:$A$148,Barèmes!$G$65:$G$148))*(1-(INT($B$8)+1-$B$8)),0)))</f>
        <v>-3317.4451067237396</v>
      </c>
      <c r="J51" s="115"/>
    </row>
    <row r="52" spans="1:10" s="43" customFormat="1" ht="15.75" customHeight="1" x14ac:dyDescent="0.25">
      <c r="A52" s="125">
        <f t="shared" si="0"/>
        <v>2057</v>
      </c>
      <c r="B52" s="131">
        <f>IF($A52&lt;$B$5+$B$4,-LOOKUP($A52,Cot_droits!$A$17:$A$68,Cot_droits!$Q$17:$Q$68)/LOOKUP($A52,Barèmes!$A$65:$A$148,Barèmes!$G$65:$G$148),IF(AND($A52&gt;=$B$5+$B$4,$A52&lt;=INT($B$8)+$B$4-1),LOOKUP($A52,Retraite!$A$7:$A$47,Retraite!$K$7:$K$47)/LOOKUP($A52,Barèmes!$A$65:$A$148,Barèmes!$G$65:$G$148),IF($A52=INT($B$8+$B$4),(LOOKUP($A52,Retraite!$A$7:$A$47,Retraite!$K$7:$K$47)/LOOKUP($A52,Barèmes!$A$65:$A$148,Barèmes!$G$65:$G$148))*(1-(INT($B$8+1)-$B$8)),0)))</f>
        <v>-9282.4410750515362</v>
      </c>
      <c r="C52" s="121">
        <f>IF($A52&lt;$B$5+$B$4,-LOOKUP($A52,Cot_droits!$A$17:$A$68,Cot_droits!$Q$17:$Q$68)/LOOKUP($A52,Barèmes!$A$65:$A$148,Barèmes!$G$65:$G$148),IF(AND($A52&gt;=$B$5+$B$4,$A52&lt;=INT($B$8)-1+$B$4),LOOKUP($A52,Retraite!$A$7:$A$47,Retraite!N$7:$N$47)/LOOKUP($A52,Barèmes!$A$65:$A$148,Barèmes!$G$65:$G$148),IF($A52=INT($B$8+$B$4),(LOOKUP($A52,Retraite!$A$7:$A$47,Retraite!$N$7:$N$47)/LOOKUP($A52,Barèmes!$A$65:$A$148,Barèmes!$G$65:$G$148))*(1-(INT($B$8)+1-$B$8)),0)))</f>
        <v>-9282.4410750515362</v>
      </c>
      <c r="D52" s="115"/>
      <c r="E52" s="131">
        <f>IF($A52&lt;$B$5+$B$4,-(LOOKUP($A52,Cot_droits!$A$17:$A$68,Cot_droits!$H$17:$H$68)+LOOKUP($A52,Cot_droits!$A$17:$A$68,Cot_droits!$L$17:$L$68))/LOOKUP($A52,Barèmes!$A$65:$A$148,Barèmes!$G$65:$G$148),IF(AND($A52&gt;=$B$5+$B$4,$A52&lt;=INT($B$8)-1+$B$4),LOOKUP($A52,Retraite!$A$7:$A$47,Retraite!$L$7:$L$47)/LOOKUP($A52,Barèmes!$A$65:$A$148,Barèmes!$G$65:$G$148),IF($A52=INT($B$8+$B$4),(LOOKUP($A52,Retraite!$A$7:$A$47,Retraite!$L$7:$L$47)/LOOKUP($A52,Barèmes!$A$65:$A$148,Barèmes!$G$65:$G$148))*(1-(INT($B$8)+1-$B$8)),0)))</f>
        <v>-5932.2866379406914</v>
      </c>
      <c r="F52" s="121">
        <f>IF($A52&lt;$B$5+$B$4,-(LOOKUP($A52,Cot_droits!$A$17:$A$68,Cot_droits!$H$17:$H$68)+LOOKUP($A52,Cot_droits!$A$17:$A$68,Cot_droits!$L$17:$L$68))/LOOKUP($A52,Barèmes!$A$65:$A$148,Barèmes!$G$65:$G$148),IF(AND($A52&gt;=$B$5+$B$4,$A52&lt;=INT($B$8)-1+$B$4),LOOKUP($A52,Retraite!$A$7:$A$47,Retraite!$P$7:P$47)/LOOKUP($A52,Barèmes!$A$65:$A$148,Barèmes!$G$65:$G$148),IF($A52=INT($B$8+$B$4),(LOOKUP($A52,Retraite!$A$7:$A$47,Retraite!$P$7:$P$47)/LOOKUP($A52,Barèmes!$A$65:$A$148,Barèmes!$G$65:$G$148))*(1-(INT($B$8)+1-$B$8)),0)))</f>
        <v>-5932.2866379406914</v>
      </c>
      <c r="H52" s="131">
        <f>IF($A52&lt;$B$5+$B$4,-(LOOKUP($A52,Cot_droits!$A$17:$A$68,Cot_droits!$I$17:$I$68)+LOOKUP($A52,Cot_droits!$A$17:$A$68,Cot_droits!$J$17:$J$68)+LOOKUP($A52,Cot_droits!$A$17:$A$68,Cot_droits!$N$17:$N$68))/LOOKUP($A52,Barèmes!$A$65:$A$148,Barèmes!$G$65:$G$148),IF(AND($A52&gt;=$B$5+$B$4,$A52&lt;=INT($B$8)-1+$B$4),LOOKUP($A52,Retraite!$A$7:$A$47,Retraite!$M$7:$M$47)/LOOKUP($A52,Barèmes!$A$65:$A$148,Barèmes!$G$65:$G$148),IF($A52=INT($B$8+$B$4),(LOOKUP($A52,Retraite!$A$7:$A$47,Retraite!$M$7:$M$47)/LOOKUP($A52,Barèmes!$A$65:$A$148,Barèmes!$G$65:$G$148))*(1-(INT($B$8)+1-$B$8)),0)))</f>
        <v>-3350.1544371108453</v>
      </c>
      <c r="I52" s="121">
        <f>IF($A52&lt;$B$5+$B$4,-(LOOKUP($A52,Cot_droits!$A$17:$A$68,Cot_droits!$I$17:$I$68)+LOOKUP($A52,Cot_droits!$A$17:$A$68,Cot_droits!$J$17:$J$68)+LOOKUP($A52,Cot_droits!$A$17:$A$68,Cot_droits!$N$17:$N$68))/LOOKUP($A52,Barèmes!$A$65:$A$148,Barèmes!$G$65:$G$148),IF(AND($A52&gt;=$B$5+$B$4,$A52&lt;=INT($B$8)-1+$B$4),LOOKUP($A52,Retraite!$A$7:$A$47,Retraite!$Q$7:Q$47)/LOOKUP($A52,Barèmes!$A$65:$A$148,Barèmes!$G$65:$G$148),IF($A52=INT($B$8+$B$4),(LOOKUP($A52,Retraite!$A$7:$A$47,Retraite!$Q$7:$Q$47)/LOOKUP($A52,Barèmes!$A$65:$A$148,Barèmes!$G$65:$G$148))*(1-(INT($B$8)+1-$B$8)),0)))</f>
        <v>-3350.1544371108453</v>
      </c>
      <c r="J52" s="115"/>
    </row>
    <row r="53" spans="1:10" s="43" customFormat="1" ht="15.75" customHeight="1" x14ac:dyDescent="0.25">
      <c r="A53" s="125">
        <f t="shared" si="0"/>
        <v>2058</v>
      </c>
      <c r="B53" s="131">
        <f>IF($A53&lt;$B$5+$B$4,-LOOKUP($A53,Cot_droits!$A$17:$A$68,Cot_droits!$Q$17:$Q$68)/LOOKUP($A53,Barèmes!$A$65:$A$148,Barèmes!$G$65:$G$148),IF(AND($A53&gt;=$B$5+$B$4,$A53&lt;=INT($B$8)+$B$4-1),LOOKUP($A53,Retraite!$A$7:$A$47,Retraite!$K$7:$K$47)/LOOKUP($A53,Barèmes!$A$65:$A$148,Barèmes!$G$65:$G$148),IF($A53=INT($B$8+$B$4),(LOOKUP($A53,Retraite!$A$7:$A$47,Retraite!$K$7:$K$47)/LOOKUP($A53,Barèmes!$A$65:$A$148,Barèmes!$G$65:$G$148))*(1-(INT($B$8+1)-$B$8)),0)))</f>
        <v>-9352.5778346940278</v>
      </c>
      <c r="C53" s="121">
        <f>IF($A53&lt;$B$5+$B$4,-LOOKUP($A53,Cot_droits!$A$17:$A$68,Cot_droits!$Q$17:$Q$68)/LOOKUP($A53,Barèmes!$A$65:$A$148,Barèmes!$G$65:$G$148),IF(AND($A53&gt;=$B$5+$B$4,$A53&lt;=INT($B$8)-1+$B$4),LOOKUP($A53,Retraite!$A$7:$A$47,Retraite!N$7:$N$47)/LOOKUP($A53,Barèmes!$A$65:$A$148,Barèmes!$G$65:$G$148),IF($A53=INT($B$8+$B$4),(LOOKUP($A53,Retraite!$A$7:$A$47,Retraite!$N$7:$N$47)/LOOKUP($A53,Barèmes!$A$65:$A$148,Barèmes!$G$65:$G$148))*(1-(INT($B$8)+1-$B$8)),0)))</f>
        <v>-9352.5778346940278</v>
      </c>
      <c r="D53" s="115"/>
      <c r="E53" s="131">
        <f>IF($A53&lt;$B$5+$B$4,-(LOOKUP($A53,Cot_droits!$A$17:$A$68,Cot_droits!$H$17:$H$68)+LOOKUP($A53,Cot_droits!$A$17:$A$68,Cot_droits!$L$17:$L$68))/LOOKUP($A53,Barèmes!$A$65:$A$148,Barèmes!$G$65:$G$148),IF(AND($A53&gt;=$B$5+$B$4,$A53&lt;=INT($B$8)-1+$B$4),LOOKUP($A53,Retraite!$A$7:$A$47,Retraite!$L$7:$L$47)/LOOKUP($A53,Barèmes!$A$65:$A$148,Barèmes!$G$65:$G$148),IF($A53=INT($B$8+$B$4),(LOOKUP($A53,Retraite!$A$7:$A$47,Retraite!$L$7:$L$47)/LOOKUP($A53,Barèmes!$A$65:$A$148,Barèmes!$G$65:$G$148))*(1-(INT($B$8)+1-$B$8)),0)))</f>
        <v>-5977.1101233462587</v>
      </c>
      <c r="F53" s="121">
        <f>IF($A53&lt;$B$5+$B$4,-(LOOKUP($A53,Cot_droits!$A$17:$A$68,Cot_droits!$H$17:$H$68)+LOOKUP($A53,Cot_droits!$A$17:$A$68,Cot_droits!$L$17:$L$68))/LOOKUP($A53,Barèmes!$A$65:$A$148,Barèmes!$G$65:$G$148),IF(AND($A53&gt;=$B$5+$B$4,$A53&lt;=INT($B$8)-1+$B$4),LOOKUP($A53,Retraite!$A$7:$A$47,Retraite!$P$7:P$47)/LOOKUP($A53,Barèmes!$A$65:$A$148,Barèmes!$G$65:$G$148),IF($A53=INT($B$8+$B$4),(LOOKUP($A53,Retraite!$A$7:$A$47,Retraite!$P$7:$P$47)/LOOKUP($A53,Barèmes!$A$65:$A$148,Barèmes!$G$65:$G$148))*(1-(INT($B$8)+1-$B$8)),0)))</f>
        <v>-5977.1101233462587</v>
      </c>
      <c r="H53" s="131">
        <f>IF($A53&lt;$B$5+$B$4,-(LOOKUP($A53,Cot_droits!$A$17:$A$68,Cot_droits!$I$17:$I$68)+LOOKUP($A53,Cot_droits!$A$17:$A$68,Cot_droits!$J$17:$J$68)+LOOKUP($A53,Cot_droits!$A$17:$A$68,Cot_droits!$N$17:$N$68))/LOOKUP($A53,Barèmes!$A$65:$A$148,Barèmes!$G$65:$G$148),IF(AND($A53&gt;=$B$5+$B$4,$A53&lt;=INT($B$8)-1+$B$4),LOOKUP($A53,Retraite!$A$7:$A$47,Retraite!$M$7:$M$47)/LOOKUP($A53,Barèmes!$A$65:$A$148,Barèmes!$G$65:$G$148),IF($A53=INT($B$8+$B$4),(LOOKUP($A53,Retraite!$A$7:$A$47,Retraite!$M$7:$M$47)/LOOKUP($A53,Barèmes!$A$65:$A$148,Barèmes!$G$65:$G$148))*(1-(INT($B$8)+1-$B$8)),0)))</f>
        <v>-3375.4677113477687</v>
      </c>
      <c r="I53" s="121">
        <f>IF($A53&lt;$B$5+$B$4,-(LOOKUP($A53,Cot_droits!$A$17:$A$68,Cot_droits!$I$17:$I$68)+LOOKUP($A53,Cot_droits!$A$17:$A$68,Cot_droits!$J$17:$J$68)+LOOKUP($A53,Cot_droits!$A$17:$A$68,Cot_droits!$N$17:$N$68))/LOOKUP($A53,Barèmes!$A$65:$A$148,Barèmes!$G$65:$G$148),IF(AND($A53&gt;=$B$5+$B$4,$A53&lt;=INT($B$8)-1+$B$4),LOOKUP($A53,Retraite!$A$7:$A$47,Retraite!$Q$7:Q$47)/LOOKUP($A53,Barèmes!$A$65:$A$148,Barèmes!$G$65:$G$148),IF($A53=INT($B$8+$B$4),(LOOKUP($A53,Retraite!$A$7:$A$47,Retraite!$Q$7:$Q$47)/LOOKUP($A53,Barèmes!$A$65:$A$148,Barèmes!$G$65:$G$148))*(1-(INT($B$8)+1-$B$8)),0)))</f>
        <v>-3375.4677113477687</v>
      </c>
      <c r="J53" s="115"/>
    </row>
    <row r="54" spans="1:10" s="43" customFormat="1" ht="15.75" customHeight="1" x14ac:dyDescent="0.25">
      <c r="A54" s="125">
        <f t="shared" si="0"/>
        <v>2059</v>
      </c>
      <c r="B54" s="131">
        <f>IF($A54&lt;$B$5+$B$4,-LOOKUP($A54,Cot_droits!$A$17:$A$68,Cot_droits!$Q$17:$Q$68)/LOOKUP($A54,Barèmes!$A$65:$A$148,Barèmes!$G$65:$G$148),IF(AND($A54&gt;=$B$5+$B$4,$A54&lt;=INT($B$8)+$B$4-1),LOOKUP($A54,Retraite!$A$7:$A$47,Retraite!$K$7:$K$47)/LOOKUP($A54,Barèmes!$A$65:$A$148,Barèmes!$G$65:$G$148),IF($A54=INT($B$8+$B$4),(LOOKUP($A54,Retraite!$A$7:$A$47,Retraite!$K$7:$K$47)/LOOKUP($A54,Barèmes!$A$65:$A$148,Barèmes!$G$65:$G$148))*(1-(INT($B$8+1)-$B$8)),0)))</f>
        <v>-9360.639341512353</v>
      </c>
      <c r="C54" s="121">
        <f>IF($A54&lt;$B$5+$B$4,-LOOKUP($A54,Cot_droits!$A$17:$A$68,Cot_droits!$Q$17:$Q$68)/LOOKUP($A54,Barèmes!$A$65:$A$148,Barèmes!$G$65:$G$148),IF(AND($A54&gt;=$B$5+$B$4,$A54&lt;=INT($B$8)-1+$B$4),LOOKUP($A54,Retraite!$A$7:$A$47,Retraite!N$7:$N$47)/LOOKUP($A54,Barèmes!$A$65:$A$148,Barèmes!$G$65:$G$148),IF($A54=INT($B$8+$B$4),(LOOKUP($A54,Retraite!$A$7:$A$47,Retraite!$N$7:$N$47)/LOOKUP($A54,Barèmes!$A$65:$A$148,Barèmes!$G$65:$G$148))*(1-(INT($B$8)+1-$B$8)),0)))</f>
        <v>-9360.639341512353</v>
      </c>
      <c r="D54" s="115"/>
      <c r="E54" s="131">
        <f>IF($A54&lt;$B$5+$B$4,-(LOOKUP($A54,Cot_droits!$A$17:$A$68,Cot_droits!$H$17:$H$68)+LOOKUP($A54,Cot_droits!$A$17:$A$68,Cot_droits!$L$17:$L$68))/LOOKUP($A54,Barèmes!$A$65:$A$148,Barèmes!$G$65:$G$148),IF(AND($A54&gt;=$B$5+$B$4,$A54&lt;=INT($B$8)-1+$B$4),LOOKUP($A54,Retraite!$A$7:$A$47,Retraite!$L$7:$L$47)/LOOKUP($A54,Barèmes!$A$65:$A$148,Barèmes!$G$65:$G$148),IF($A54=INT($B$8+$B$4),(LOOKUP($A54,Retraite!$A$7:$A$47,Retraite!$L$7:$L$47)/LOOKUP($A54,Barèmes!$A$65:$A$148,Barèmes!$G$65:$G$148))*(1-(INT($B$8)+1-$B$8)),0)))</f>
        <v>-5982.2621268756484</v>
      </c>
      <c r="F54" s="121">
        <f>IF($A54&lt;$B$5+$B$4,-(LOOKUP($A54,Cot_droits!$A$17:$A$68,Cot_droits!$H$17:$H$68)+LOOKUP($A54,Cot_droits!$A$17:$A$68,Cot_droits!$L$17:$L$68))/LOOKUP($A54,Barèmes!$A$65:$A$148,Barèmes!$G$65:$G$148),IF(AND($A54&gt;=$B$5+$B$4,$A54&lt;=INT($B$8)-1+$B$4),LOOKUP($A54,Retraite!$A$7:$A$47,Retraite!$P$7:P$47)/LOOKUP($A54,Barèmes!$A$65:$A$148,Barèmes!$G$65:$G$148),IF($A54=INT($B$8+$B$4),(LOOKUP($A54,Retraite!$A$7:$A$47,Retraite!$P$7:$P$47)/LOOKUP($A54,Barèmes!$A$65:$A$148,Barèmes!$G$65:$G$148))*(1-(INT($B$8)+1-$B$8)),0)))</f>
        <v>-5982.2621268756484</v>
      </c>
      <c r="H54" s="131">
        <f>IF($A54&lt;$B$5+$B$4,-(LOOKUP($A54,Cot_droits!$A$17:$A$68,Cot_droits!$I$17:$I$68)+LOOKUP($A54,Cot_droits!$A$17:$A$68,Cot_droits!$J$17:$J$68)+LOOKUP($A54,Cot_droits!$A$17:$A$68,Cot_droits!$N$17:$N$68))/LOOKUP($A54,Barèmes!$A$65:$A$148,Barèmes!$G$65:$G$148),IF(AND($A54&gt;=$B$5+$B$4,$A54&lt;=INT($B$8)-1+$B$4),LOOKUP($A54,Retraite!$A$7:$A$47,Retraite!$M$7:$M$47)/LOOKUP($A54,Barèmes!$A$65:$A$148,Barèmes!$G$65:$G$148),IF($A54=INT($B$8+$B$4),(LOOKUP($A54,Retraite!$A$7:$A$47,Retraite!$M$7:$M$47)/LOOKUP($A54,Barèmes!$A$65:$A$148,Barèmes!$G$65:$G$148))*(1-(INT($B$8)+1-$B$8)),0)))</f>
        <v>-3378.3772146367041</v>
      </c>
      <c r="I54" s="121">
        <f>IF($A54&lt;$B$5+$B$4,-(LOOKUP($A54,Cot_droits!$A$17:$A$68,Cot_droits!$I$17:$I$68)+LOOKUP($A54,Cot_droits!$A$17:$A$68,Cot_droits!$J$17:$J$68)+LOOKUP($A54,Cot_droits!$A$17:$A$68,Cot_droits!$N$17:$N$68))/LOOKUP($A54,Barèmes!$A$65:$A$148,Barèmes!$G$65:$G$148),IF(AND($A54&gt;=$B$5+$B$4,$A54&lt;=INT($B$8)-1+$B$4),LOOKUP($A54,Retraite!$A$7:$A$47,Retraite!$Q$7:Q$47)/LOOKUP($A54,Barèmes!$A$65:$A$148,Barèmes!$G$65:$G$148),IF($A54=INT($B$8+$B$4),(LOOKUP($A54,Retraite!$A$7:$A$47,Retraite!$Q$7:$Q$47)/LOOKUP($A54,Barèmes!$A$65:$A$148,Barèmes!$G$65:$G$148))*(1-(INT($B$8)+1-$B$8)),0)))</f>
        <v>-3378.3772146367041</v>
      </c>
      <c r="J54" s="115"/>
    </row>
    <row r="55" spans="1:10" s="43" customFormat="1" ht="15.75" customHeight="1" x14ac:dyDescent="0.25">
      <c r="A55" s="125">
        <f t="shared" si="0"/>
        <v>2060</v>
      </c>
      <c r="B55" s="131">
        <f>IF($A55&lt;$B$5+$B$4,-LOOKUP($A55,Cot_droits!$A$17:$A$68,Cot_droits!$Q$17:$Q$68)/LOOKUP($A55,Barèmes!$A$65:$A$148,Barèmes!$G$65:$G$148),IF(AND($A55&gt;=$B$5+$B$4,$A55&lt;=INT($B$8)+$B$4-1),LOOKUP($A55,Retraite!$A$7:$A$47,Retraite!$K$7:$K$47)/LOOKUP($A55,Barèmes!$A$65:$A$148,Barèmes!$G$65:$G$148),IF($A55=INT($B$8+$B$4),(LOOKUP($A55,Retraite!$A$7:$A$47,Retraite!$K$7:$K$47)/LOOKUP($A55,Barèmes!$A$65:$A$148,Barèmes!$G$65:$G$148))*(1-(INT($B$8+1)-$B$8)),0)))</f>
        <v>-9385.0347906332099</v>
      </c>
      <c r="C55" s="121">
        <f>IF($A55&lt;$B$5+$B$4,-LOOKUP($A55,Cot_droits!$A$17:$A$68,Cot_droits!$Q$17:$Q$68)/LOOKUP($A55,Barèmes!$A$65:$A$148,Barèmes!$G$65:$G$148),IF(AND($A55&gt;=$B$5+$B$4,$A55&lt;=INT($B$8)-1+$B$4),LOOKUP($A55,Retraite!$A$7:$A$47,Retraite!N$7:$N$47)/LOOKUP($A55,Barèmes!$A$65:$A$148,Barèmes!$G$65:$G$148),IF($A55=INT($B$8+$B$4),(LOOKUP($A55,Retraite!$A$7:$A$47,Retraite!$N$7:$N$47)/LOOKUP($A55,Barèmes!$A$65:$A$148,Barèmes!$G$65:$G$148))*(1-(INT($B$8)+1-$B$8)),0)))</f>
        <v>-9385.0347906332099</v>
      </c>
      <c r="D55" s="115"/>
      <c r="E55" s="131">
        <f>IF($A55&lt;$B$5+$B$4,-(LOOKUP($A55,Cot_droits!$A$17:$A$68,Cot_droits!$H$17:$H$68)+LOOKUP($A55,Cot_droits!$A$17:$A$68,Cot_droits!$L$17:$L$68))/LOOKUP($A55,Barèmes!$A$65:$A$148,Barèmes!$G$65:$G$148),IF(AND($A55&gt;=$B$5+$B$4,$A55&lt;=INT($B$8)-1+$B$4),LOOKUP($A55,Retraite!$A$7:$A$47,Retraite!$L$7:$L$47)/LOOKUP($A55,Barèmes!$A$65:$A$148,Barèmes!$G$65:$G$148),IF($A55=INT($B$8+$B$4),(LOOKUP($A55,Retraite!$A$7:$A$47,Retraite!$L$7:$L$47)/LOOKUP($A55,Barèmes!$A$65:$A$148,Barèmes!$G$65:$G$148))*(1-(INT($B$8)+1-$B$8)),0)))</f>
        <v>-5997.8529392143537</v>
      </c>
      <c r="F55" s="121">
        <f>IF($A55&lt;$B$5+$B$4,-(LOOKUP($A55,Cot_droits!$A$17:$A$68,Cot_droits!$H$17:$H$68)+LOOKUP($A55,Cot_droits!$A$17:$A$68,Cot_droits!$L$17:$L$68))/LOOKUP($A55,Barèmes!$A$65:$A$148,Barèmes!$G$65:$G$148),IF(AND($A55&gt;=$B$5+$B$4,$A55&lt;=INT($B$8)-1+$B$4),LOOKUP($A55,Retraite!$A$7:$A$47,Retraite!$P$7:P$47)/LOOKUP($A55,Barèmes!$A$65:$A$148,Barèmes!$G$65:$G$148),IF($A55=INT($B$8+$B$4),(LOOKUP($A55,Retraite!$A$7:$A$47,Retraite!$P$7:$P$47)/LOOKUP($A55,Barèmes!$A$65:$A$148,Barèmes!$G$65:$G$148))*(1-(INT($B$8)+1-$B$8)),0)))</f>
        <v>-5997.8529392143537</v>
      </c>
      <c r="H55" s="131">
        <f>IF($A55&lt;$B$5+$B$4,-(LOOKUP($A55,Cot_droits!$A$17:$A$68,Cot_droits!$I$17:$I$68)+LOOKUP($A55,Cot_droits!$A$17:$A$68,Cot_droits!$J$17:$J$68)+LOOKUP($A55,Cot_droits!$A$17:$A$68,Cot_droits!$N$17:$N$68))/LOOKUP($A55,Barèmes!$A$65:$A$148,Barèmes!$G$65:$G$148),IF(AND($A55&gt;=$B$5+$B$4,$A55&lt;=INT($B$8)-1+$B$4),LOOKUP($A55,Retraite!$A$7:$A$47,Retraite!$M$7:$M$47)/LOOKUP($A55,Barèmes!$A$65:$A$148,Barèmes!$G$65:$G$148),IF($A55=INT($B$8+$B$4),(LOOKUP($A55,Retraite!$A$7:$A$47,Retraite!$M$7:$M$47)/LOOKUP($A55,Barèmes!$A$65:$A$148,Barèmes!$G$65:$G$148))*(1-(INT($B$8)+1-$B$8)),0)))</f>
        <v>-3387.1818514188558</v>
      </c>
      <c r="I55" s="121">
        <f>IF($A55&lt;$B$5+$B$4,-(LOOKUP($A55,Cot_droits!$A$17:$A$68,Cot_droits!$I$17:$I$68)+LOOKUP($A55,Cot_droits!$A$17:$A$68,Cot_droits!$J$17:$J$68)+LOOKUP($A55,Cot_droits!$A$17:$A$68,Cot_droits!$N$17:$N$68))/LOOKUP($A55,Barèmes!$A$65:$A$148,Barèmes!$G$65:$G$148),IF(AND($A55&gt;=$B$5+$B$4,$A55&lt;=INT($B$8)-1+$B$4),LOOKUP($A55,Retraite!$A$7:$A$47,Retraite!$Q$7:Q$47)/LOOKUP($A55,Barèmes!$A$65:$A$148,Barèmes!$G$65:$G$148),IF($A55=INT($B$8+$B$4),(LOOKUP($A55,Retraite!$A$7:$A$47,Retraite!$Q$7:$Q$47)/LOOKUP($A55,Barèmes!$A$65:$A$148,Barèmes!$G$65:$G$148))*(1-(INT($B$8)+1-$B$8)),0)))</f>
        <v>-3387.1818514188558</v>
      </c>
      <c r="J55" s="115"/>
    </row>
    <row r="56" spans="1:10" s="43" customFormat="1" ht="15.75" customHeight="1" x14ac:dyDescent="0.25">
      <c r="A56" s="125">
        <f t="shared" si="0"/>
        <v>2061</v>
      </c>
      <c r="B56" s="131">
        <f>IF($A56&lt;$B$5+$B$4,-LOOKUP($A56,Cot_droits!$A$17:$A$68,Cot_droits!$Q$17:$Q$68)/LOOKUP($A56,Barèmes!$A$65:$A$148,Barèmes!$G$65:$G$148),IF(AND($A56&gt;=$B$5+$B$4,$A56&lt;=INT($B$8)+$B$4-1),LOOKUP($A56,Retraite!$A$7:$A$47,Retraite!$K$7:$K$47)/LOOKUP($A56,Barèmes!$A$65:$A$148,Barèmes!$G$65:$G$148),IF($A56=INT($B$8+$B$4),(LOOKUP($A56,Retraite!$A$7:$A$47,Retraite!$K$7:$K$47)/LOOKUP($A56,Barèmes!$A$65:$A$148,Barèmes!$G$65:$G$148))*(1-(INT($B$8+1)-$B$8)),0)))</f>
        <v>-9385.0347906332099</v>
      </c>
      <c r="C56" s="121">
        <f>IF($A56&lt;$B$5+$B$4,-LOOKUP($A56,Cot_droits!$A$17:$A$68,Cot_droits!$Q$17:$Q$68)/LOOKUP($A56,Barèmes!$A$65:$A$148,Barèmes!$G$65:$G$148),IF(AND($A56&gt;=$B$5+$B$4,$A56&lt;=INT($B$8)-1+$B$4),LOOKUP($A56,Retraite!$A$7:$A$47,Retraite!N$7:$N$47)/LOOKUP($A56,Barèmes!$A$65:$A$148,Barèmes!$G$65:$G$148),IF($A56=INT($B$8+$B$4),(LOOKUP($A56,Retraite!$A$7:$A$47,Retraite!$N$7:$N$47)/LOOKUP($A56,Barèmes!$A$65:$A$148,Barèmes!$G$65:$G$148))*(1-(INT($B$8)+1-$B$8)),0)))</f>
        <v>-9385.0347906332099</v>
      </c>
      <c r="D56" s="115"/>
      <c r="E56" s="131">
        <f>IF($A56&lt;$B$5+$B$4,-(LOOKUP($A56,Cot_droits!$A$17:$A$68,Cot_droits!$H$17:$H$68)+LOOKUP($A56,Cot_droits!$A$17:$A$68,Cot_droits!$L$17:$L$68))/LOOKUP($A56,Barèmes!$A$65:$A$148,Barèmes!$G$65:$G$148),IF(AND($A56&gt;=$B$5+$B$4,$A56&lt;=INT($B$8)-1+$B$4),LOOKUP($A56,Retraite!$A$7:$A$47,Retraite!$L$7:$L$47)/LOOKUP($A56,Barèmes!$A$65:$A$148,Barèmes!$G$65:$G$148),IF($A56=INT($B$8+$B$4),(LOOKUP($A56,Retraite!$A$7:$A$47,Retraite!$L$7:$L$47)/LOOKUP($A56,Barèmes!$A$65:$A$148,Barèmes!$G$65:$G$148))*(1-(INT($B$8)+1-$B$8)),0)))</f>
        <v>-5997.8529392143546</v>
      </c>
      <c r="F56" s="121">
        <f>IF($A56&lt;$B$5+$B$4,-(LOOKUP($A56,Cot_droits!$A$17:$A$68,Cot_droits!$H$17:$H$68)+LOOKUP($A56,Cot_droits!$A$17:$A$68,Cot_droits!$L$17:$L$68))/LOOKUP($A56,Barèmes!$A$65:$A$148,Barèmes!$G$65:$G$148),IF(AND($A56&gt;=$B$5+$B$4,$A56&lt;=INT($B$8)-1+$B$4),LOOKUP($A56,Retraite!$A$7:$A$47,Retraite!$P$7:P$47)/LOOKUP($A56,Barèmes!$A$65:$A$148,Barèmes!$G$65:$G$148),IF($A56=INT($B$8+$B$4),(LOOKUP($A56,Retraite!$A$7:$A$47,Retraite!$P$7:$P$47)/LOOKUP($A56,Barèmes!$A$65:$A$148,Barèmes!$G$65:$G$148))*(1-(INT($B$8)+1-$B$8)),0)))</f>
        <v>-5997.8529392143546</v>
      </c>
      <c r="H56" s="131">
        <f>IF($A56&lt;$B$5+$B$4,-(LOOKUP($A56,Cot_droits!$A$17:$A$68,Cot_droits!$I$17:$I$68)+LOOKUP($A56,Cot_droits!$A$17:$A$68,Cot_droits!$J$17:$J$68)+LOOKUP($A56,Cot_droits!$A$17:$A$68,Cot_droits!$N$17:$N$68))/LOOKUP($A56,Barèmes!$A$65:$A$148,Barèmes!$G$65:$G$148),IF(AND($A56&gt;=$B$5+$B$4,$A56&lt;=INT($B$8)-1+$B$4),LOOKUP($A56,Retraite!$A$7:$A$47,Retraite!$M$7:$M$47)/LOOKUP($A56,Barèmes!$A$65:$A$148,Barèmes!$G$65:$G$148),IF($A56=INT($B$8+$B$4),(LOOKUP($A56,Retraite!$A$7:$A$47,Retraite!$M$7:$M$47)/LOOKUP($A56,Barèmes!$A$65:$A$148,Barèmes!$G$65:$G$148))*(1-(INT($B$8)+1-$B$8)),0)))</f>
        <v>-3387.1818514188558</v>
      </c>
      <c r="I56" s="121">
        <f>IF($A56&lt;$B$5+$B$4,-(LOOKUP($A56,Cot_droits!$A$17:$A$68,Cot_droits!$I$17:$I$68)+LOOKUP($A56,Cot_droits!$A$17:$A$68,Cot_droits!$J$17:$J$68)+LOOKUP($A56,Cot_droits!$A$17:$A$68,Cot_droits!$N$17:$N$68))/LOOKUP($A56,Barèmes!$A$65:$A$148,Barèmes!$G$65:$G$148),IF(AND($A56&gt;=$B$5+$B$4,$A56&lt;=INT($B$8)-1+$B$4),LOOKUP($A56,Retraite!$A$7:$A$47,Retraite!$Q$7:Q$47)/LOOKUP($A56,Barèmes!$A$65:$A$148,Barèmes!$G$65:$G$148),IF($A56=INT($B$8+$B$4),(LOOKUP($A56,Retraite!$A$7:$A$47,Retraite!$Q$7:$Q$47)/LOOKUP($A56,Barèmes!$A$65:$A$148,Barèmes!$G$65:$G$148))*(1-(INT($B$8)+1-$B$8)),0)))</f>
        <v>-3387.1818514188558</v>
      </c>
      <c r="J56" s="115"/>
    </row>
    <row r="57" spans="1:10" s="43" customFormat="1" ht="15.75" customHeight="1" x14ac:dyDescent="0.25">
      <c r="A57" s="125">
        <f t="shared" si="0"/>
        <v>2062</v>
      </c>
      <c r="B57" s="131">
        <f>IF($A57&lt;$B$5+$B$4,-LOOKUP($A57,Cot_droits!$A$17:$A$68,Cot_droits!$Q$17:$Q$68)/LOOKUP($A57,Barèmes!$A$65:$A$148,Barèmes!$G$65:$G$148),IF(AND($A57&gt;=$B$5+$B$4,$A57&lt;=INT($B$8)+$B$4-1),LOOKUP($A57,Retraite!$A$7:$A$47,Retraite!$K$7:$K$47)/LOOKUP($A57,Barèmes!$A$65:$A$148,Barèmes!$G$65:$G$148),IF($A57=INT($B$8+$B$4),(LOOKUP($A57,Retraite!$A$7:$A$47,Retraite!$K$7:$K$47)/LOOKUP($A57,Barèmes!$A$65:$A$148,Barèmes!$G$65:$G$148))*(1-(INT($B$8+1)-$B$8)),0)))</f>
        <v>-9385.0347906332117</v>
      </c>
      <c r="C57" s="121">
        <f>IF($A57&lt;$B$5+$B$4,-LOOKUP($A57,Cot_droits!$A$17:$A$68,Cot_droits!$Q$17:$Q$68)/LOOKUP($A57,Barèmes!$A$65:$A$148,Barèmes!$G$65:$G$148),IF(AND($A57&gt;=$B$5+$B$4,$A57&lt;=INT($B$8)-1+$B$4),LOOKUP($A57,Retraite!$A$7:$A$47,Retraite!N$7:$N$47)/LOOKUP($A57,Barèmes!$A$65:$A$148,Barèmes!$G$65:$G$148),IF($A57=INT($B$8+$B$4),(LOOKUP($A57,Retraite!$A$7:$A$47,Retraite!$N$7:$N$47)/LOOKUP($A57,Barèmes!$A$65:$A$148,Barèmes!$G$65:$G$148))*(1-(INT($B$8)+1-$B$8)),0)))</f>
        <v>-9385.0347906332117</v>
      </c>
      <c r="D57" s="115"/>
      <c r="E57" s="131">
        <f>IF($A57&lt;$B$5+$B$4,-(LOOKUP($A57,Cot_droits!$A$17:$A$68,Cot_droits!$H$17:$H$68)+LOOKUP($A57,Cot_droits!$A$17:$A$68,Cot_droits!$L$17:$L$68))/LOOKUP($A57,Barèmes!$A$65:$A$148,Barèmes!$G$65:$G$148),IF(AND($A57&gt;=$B$5+$B$4,$A57&lt;=INT($B$8)-1+$B$4),LOOKUP($A57,Retraite!$A$7:$A$47,Retraite!$L$7:$L$47)/LOOKUP($A57,Barèmes!$A$65:$A$148,Barèmes!$G$65:$G$148),IF($A57=INT($B$8+$B$4),(LOOKUP($A57,Retraite!$A$7:$A$47,Retraite!$L$7:$L$47)/LOOKUP($A57,Barèmes!$A$65:$A$148,Barèmes!$G$65:$G$148))*(1-(INT($B$8)+1-$B$8)),0)))</f>
        <v>-5997.8529392143546</v>
      </c>
      <c r="F57" s="121">
        <f>IF($A57&lt;$B$5+$B$4,-(LOOKUP($A57,Cot_droits!$A$17:$A$68,Cot_droits!$H$17:$H$68)+LOOKUP($A57,Cot_droits!$A$17:$A$68,Cot_droits!$L$17:$L$68))/LOOKUP($A57,Barèmes!$A$65:$A$148,Barèmes!$G$65:$G$148),IF(AND($A57&gt;=$B$5+$B$4,$A57&lt;=INT($B$8)-1+$B$4),LOOKUP($A57,Retraite!$A$7:$A$47,Retraite!$P$7:P$47)/LOOKUP($A57,Barèmes!$A$65:$A$148,Barèmes!$G$65:$G$148),IF($A57=INT($B$8+$B$4),(LOOKUP($A57,Retraite!$A$7:$A$47,Retraite!$P$7:$P$47)/LOOKUP($A57,Barèmes!$A$65:$A$148,Barèmes!$G$65:$G$148))*(1-(INT($B$8)+1-$B$8)),0)))</f>
        <v>-5997.8529392143546</v>
      </c>
      <c r="H57" s="131">
        <f>IF($A57&lt;$B$5+$B$4,-(LOOKUP($A57,Cot_droits!$A$17:$A$68,Cot_droits!$I$17:$I$68)+LOOKUP($A57,Cot_droits!$A$17:$A$68,Cot_droits!$J$17:$J$68)+LOOKUP($A57,Cot_droits!$A$17:$A$68,Cot_droits!$N$17:$N$68))/LOOKUP($A57,Barèmes!$A$65:$A$148,Barèmes!$G$65:$G$148),IF(AND($A57&gt;=$B$5+$B$4,$A57&lt;=INT($B$8)-1+$B$4),LOOKUP($A57,Retraite!$A$7:$A$47,Retraite!$M$7:$M$47)/LOOKUP($A57,Barèmes!$A$65:$A$148,Barèmes!$G$65:$G$148),IF($A57=INT($B$8+$B$4),(LOOKUP($A57,Retraite!$A$7:$A$47,Retraite!$M$7:$M$47)/LOOKUP($A57,Barèmes!$A$65:$A$148,Barèmes!$G$65:$G$148))*(1-(INT($B$8)+1-$B$8)),0)))</f>
        <v>-3387.1818514188562</v>
      </c>
      <c r="I57" s="121">
        <f>IF($A57&lt;$B$5+$B$4,-(LOOKUP($A57,Cot_droits!$A$17:$A$68,Cot_droits!$I$17:$I$68)+LOOKUP($A57,Cot_droits!$A$17:$A$68,Cot_droits!$J$17:$J$68)+LOOKUP($A57,Cot_droits!$A$17:$A$68,Cot_droits!$N$17:$N$68))/LOOKUP($A57,Barèmes!$A$65:$A$148,Barèmes!$G$65:$G$148),IF(AND($A57&gt;=$B$5+$B$4,$A57&lt;=INT($B$8)-1+$B$4),LOOKUP($A57,Retraite!$A$7:$A$47,Retraite!$Q$7:Q$47)/LOOKUP($A57,Barèmes!$A$65:$A$148,Barèmes!$G$65:$G$148),IF($A57=INT($B$8+$B$4),(LOOKUP($A57,Retraite!$A$7:$A$47,Retraite!$Q$7:$Q$47)/LOOKUP($A57,Barèmes!$A$65:$A$148,Barèmes!$G$65:$G$148))*(1-(INT($B$8)+1-$B$8)),0)))</f>
        <v>-3387.1818514188562</v>
      </c>
      <c r="J57" s="115"/>
    </row>
    <row r="58" spans="1:10" s="43" customFormat="1" ht="15.75" customHeight="1" x14ac:dyDescent="0.25">
      <c r="A58" s="125">
        <f t="shared" si="0"/>
        <v>2063</v>
      </c>
      <c r="B58" s="131">
        <f>IF($A58&lt;$B$5+$B$4,-LOOKUP($A58,Cot_droits!$A$17:$A$68,Cot_droits!$Q$17:$Q$68)/LOOKUP($A58,Barèmes!$A$65:$A$148,Barèmes!$G$65:$G$148),IF(AND($A58&gt;=$B$5+$B$4,$A58&lt;=INT($B$8)+$B$4-1),LOOKUP($A58,Retraite!$A$7:$A$47,Retraite!$K$7:$K$47)/LOOKUP($A58,Barèmes!$A$65:$A$148,Barèmes!$G$65:$G$148),IF($A58=INT($B$8+$B$4),(LOOKUP($A58,Retraite!$A$7:$A$47,Retraite!$K$7:$K$47)/LOOKUP($A58,Barèmes!$A$65:$A$148,Barèmes!$G$65:$G$148))*(1-(INT($B$8+1)-$B$8)),0)))</f>
        <v>-9385.0347906332099</v>
      </c>
      <c r="C58" s="121">
        <f>IF($A58&lt;$B$5+$B$4,-LOOKUP($A58,Cot_droits!$A$17:$A$68,Cot_droits!$Q$17:$Q$68)/LOOKUP($A58,Barèmes!$A$65:$A$148,Barèmes!$G$65:$G$148),IF(AND($A58&gt;=$B$5+$B$4,$A58&lt;=INT($B$8)-1+$B$4),LOOKUP($A58,Retraite!$A$7:$A$47,Retraite!N$7:$N$47)/LOOKUP($A58,Barèmes!$A$65:$A$148,Barèmes!$G$65:$G$148),IF($A58=INT($B$8+$B$4),(LOOKUP($A58,Retraite!$A$7:$A$47,Retraite!$N$7:$N$47)/LOOKUP($A58,Barèmes!$A$65:$A$148,Barèmes!$G$65:$G$148))*(1-(INT($B$8)+1-$B$8)),0)))</f>
        <v>-9385.0347906332099</v>
      </c>
      <c r="D58" s="115"/>
      <c r="E58" s="131">
        <f>IF($A58&lt;$B$5+$B$4,-(LOOKUP($A58,Cot_droits!$A$17:$A$68,Cot_droits!$H$17:$H$68)+LOOKUP($A58,Cot_droits!$A$17:$A$68,Cot_droits!$L$17:$L$68))/LOOKUP($A58,Barèmes!$A$65:$A$148,Barèmes!$G$65:$G$148),IF(AND($A58&gt;=$B$5+$B$4,$A58&lt;=INT($B$8)-1+$B$4),LOOKUP($A58,Retraite!$A$7:$A$47,Retraite!$L$7:$L$47)/LOOKUP($A58,Barèmes!$A$65:$A$148,Barèmes!$G$65:$G$148),IF($A58=INT($B$8+$B$4),(LOOKUP($A58,Retraite!$A$7:$A$47,Retraite!$L$7:$L$47)/LOOKUP($A58,Barèmes!$A$65:$A$148,Barèmes!$G$65:$G$148))*(1-(INT($B$8)+1-$B$8)),0)))</f>
        <v>-5997.8529392143537</v>
      </c>
      <c r="F58" s="121">
        <f>IF($A58&lt;$B$5+$B$4,-(LOOKUP($A58,Cot_droits!$A$17:$A$68,Cot_droits!$H$17:$H$68)+LOOKUP($A58,Cot_droits!$A$17:$A$68,Cot_droits!$L$17:$L$68))/LOOKUP($A58,Barèmes!$A$65:$A$148,Barèmes!$G$65:$G$148),IF(AND($A58&gt;=$B$5+$B$4,$A58&lt;=INT($B$8)-1+$B$4),LOOKUP($A58,Retraite!$A$7:$A$47,Retraite!$P$7:P$47)/LOOKUP($A58,Barèmes!$A$65:$A$148,Barèmes!$G$65:$G$148),IF($A58=INT($B$8+$B$4),(LOOKUP($A58,Retraite!$A$7:$A$47,Retraite!$P$7:$P$47)/LOOKUP($A58,Barèmes!$A$65:$A$148,Barèmes!$G$65:$G$148))*(1-(INT($B$8)+1-$B$8)),0)))</f>
        <v>-5997.8529392143537</v>
      </c>
      <c r="H58" s="131">
        <f>IF($A58&lt;$B$5+$B$4,-(LOOKUP($A58,Cot_droits!$A$17:$A$68,Cot_droits!$I$17:$I$68)+LOOKUP($A58,Cot_droits!$A$17:$A$68,Cot_droits!$J$17:$J$68)+LOOKUP($A58,Cot_droits!$A$17:$A$68,Cot_droits!$N$17:$N$68))/LOOKUP($A58,Barèmes!$A$65:$A$148,Barèmes!$G$65:$G$148),IF(AND($A58&gt;=$B$5+$B$4,$A58&lt;=INT($B$8)-1+$B$4),LOOKUP($A58,Retraite!$A$7:$A$47,Retraite!$M$7:$M$47)/LOOKUP($A58,Barèmes!$A$65:$A$148,Barèmes!$G$65:$G$148),IF($A58=INT($B$8+$B$4),(LOOKUP($A58,Retraite!$A$7:$A$47,Retraite!$M$7:$M$47)/LOOKUP($A58,Barèmes!$A$65:$A$148,Barèmes!$G$65:$G$148))*(1-(INT($B$8)+1-$B$8)),0)))</f>
        <v>-3387.1818514188558</v>
      </c>
      <c r="I58" s="121">
        <f>IF($A58&lt;$B$5+$B$4,-(LOOKUP($A58,Cot_droits!$A$17:$A$68,Cot_droits!$I$17:$I$68)+LOOKUP($A58,Cot_droits!$A$17:$A$68,Cot_droits!$J$17:$J$68)+LOOKUP($A58,Cot_droits!$A$17:$A$68,Cot_droits!$N$17:$N$68))/LOOKUP($A58,Barèmes!$A$65:$A$148,Barèmes!$G$65:$G$148),IF(AND($A58&gt;=$B$5+$B$4,$A58&lt;=INT($B$8)-1+$B$4),LOOKUP($A58,Retraite!$A$7:$A$47,Retraite!$Q$7:Q$47)/LOOKUP($A58,Barèmes!$A$65:$A$148,Barèmes!$G$65:$G$148),IF($A58=INT($B$8+$B$4),(LOOKUP($A58,Retraite!$A$7:$A$47,Retraite!$Q$7:$Q$47)/LOOKUP($A58,Barèmes!$A$65:$A$148,Barèmes!$G$65:$G$148))*(1-(INT($B$8)+1-$B$8)),0)))</f>
        <v>-3387.1818514188558</v>
      </c>
      <c r="J58" s="115"/>
    </row>
    <row r="59" spans="1:10" s="43" customFormat="1" ht="15.75" customHeight="1" x14ac:dyDescent="0.25">
      <c r="A59" s="125">
        <f t="shared" si="0"/>
        <v>2064</v>
      </c>
      <c r="B59" s="131">
        <f ca="1">IF($A59&lt;$B$5+$B$4,-LOOKUP($A59,Cot_droits!$A$17:$A$68,Cot_droits!$Q$17:$Q$68)/LOOKUP($A59,Barèmes!$A$65:$A$148,Barèmes!$G$65:$G$148),IF(AND($A59&gt;=$B$5+$B$4,$A59&lt;=INT($B$8)+$B$4-1),LOOKUP($A59,Retraite!$A$7:$A$47,Retraite!$K$7:$K$47)/LOOKUP($A59,Barèmes!$A$65:$A$148,Barèmes!$G$65:$G$148),IF($A59=INT($B$8+$B$4),(LOOKUP($A59,Retraite!$A$7:$A$47,Retraite!$K$7:$K$47)/LOOKUP($A59,Barèmes!$A$65:$A$148,Barèmes!$G$65:$G$148))*(1-(INT($B$8+1)-$B$8)),0)))</f>
        <v>18243.611434200997</v>
      </c>
      <c r="C59" s="121">
        <f ca="1">IF($A59&lt;$B$5+$B$4,-LOOKUP($A59,Cot_droits!$A$17:$A$68,Cot_droits!$Q$17:$Q$68)/LOOKUP($A59,Barèmes!$A$65:$A$148,Barèmes!$G$65:$G$148),IF(AND($A59&gt;=$B$5+$B$4,$A59&lt;=INT($B$8)-1+$B$4),LOOKUP($A59,Retraite!$A$7:$A$47,Retraite!N$7:$N$47)/LOOKUP($A59,Barèmes!$A$65:$A$148,Barèmes!$G$65:$G$148),IF($A59=INT($B$8+$B$4),(LOOKUP($A59,Retraite!$A$7:$A$47,Retraite!$N$7:$N$47)/LOOKUP($A59,Barèmes!$A$65:$A$148,Barèmes!$G$65:$G$148))*(1-(INT($B$8)+1-$B$8)),0)))</f>
        <v>16545.26312382154</v>
      </c>
      <c r="D59" s="115"/>
      <c r="E59" s="131">
        <f>IF($A59&lt;$B$5+$B$4,-(LOOKUP($A59,Cot_droits!$A$17:$A$68,Cot_droits!$H$17:$H$68)+LOOKUP($A59,Cot_droits!$A$17:$A$68,Cot_droits!$L$17:$L$68))/LOOKUP($A59,Barèmes!$A$65:$A$148,Barèmes!$G$65:$G$148),IF(AND($A59&gt;=$B$5+$B$4,$A59&lt;=INT($B$8)-1+$B$4),LOOKUP($A59,Retraite!$A$7:$A$47,Retraite!$L$7:$L$47)/LOOKUP($A59,Barèmes!$A$65:$A$148,Barèmes!$G$65:$G$148),IF($A59=INT($B$8+$B$4),(LOOKUP($A59,Retraite!$A$7:$A$47,Retraite!$L$7:$L$47)/LOOKUP($A59,Barèmes!$A$65:$A$148,Barèmes!$G$65:$G$148))*(1-(INT($B$8)+1-$B$8)),0)))</f>
        <v>14425.644447484416</v>
      </c>
      <c r="F59" s="121">
        <f ca="1">IF($A59&lt;$B$5+$B$4,-(LOOKUP($A59,Cot_droits!$A$17:$A$68,Cot_droits!$H$17:$H$68)+LOOKUP($A59,Cot_droits!$A$17:$A$68,Cot_droits!$L$17:$L$68))/LOOKUP($A59,Barèmes!$A$65:$A$148,Barèmes!$G$65:$G$148),IF(AND($A59&gt;=$B$5+$B$4,$A59&lt;=INT($B$8)-1+$B$4),LOOKUP($A59,Retraite!$A$7:$A$47,Retraite!$P$7:P$47)/LOOKUP($A59,Barèmes!$A$65:$A$148,Barèmes!$G$65:$G$148),IF($A59=INT($B$8+$B$4),(LOOKUP($A59,Retraite!$A$7:$A$47,Retraite!$P$7:$P$47)/LOOKUP($A59,Barèmes!$A$65:$A$148,Barèmes!$G$65:$G$148))*(1-(INT($B$8)+1-$B$8)),0)))</f>
        <v>13112.910802763334</v>
      </c>
      <c r="H59" s="131">
        <f ca="1">IF($A59&lt;$B$5+$B$4,-(LOOKUP($A59,Cot_droits!$A$17:$A$68,Cot_droits!$I$17:$I$68)+LOOKUP($A59,Cot_droits!$A$17:$A$68,Cot_droits!$J$17:$J$68)+LOOKUP($A59,Cot_droits!$A$17:$A$68,Cot_droits!$N$17:$N$68))/LOOKUP($A59,Barèmes!$A$65:$A$148,Barèmes!$G$65:$G$148),IF(AND($A59&gt;=$B$5+$B$4,$A59&lt;=INT($B$8)-1+$B$4),LOOKUP($A59,Retraite!$A$7:$A$47,Retraite!$M$7:$M$47)/LOOKUP($A59,Barèmes!$A$65:$A$148,Barèmes!$G$65:$G$148),IF($A59=INT($B$8+$B$4),(LOOKUP($A59,Retraite!$A$7:$A$47,Retraite!$M$7:$M$47)/LOOKUP($A59,Barèmes!$A$65:$A$148,Barèmes!$G$65:$G$148))*(1-(INT($B$8)+1-$B$8)),0)))</f>
        <v>3817.9669867165817</v>
      </c>
      <c r="I59" s="121">
        <f ca="1">IF($A59&lt;$B$5+$B$4,-(LOOKUP($A59,Cot_droits!$A$17:$A$68,Cot_droits!$I$17:$I$68)+LOOKUP($A59,Cot_droits!$A$17:$A$68,Cot_droits!$J$17:$J$68)+LOOKUP($A59,Cot_droits!$A$17:$A$68,Cot_droits!$N$17:$N$68))/LOOKUP($A59,Barèmes!$A$65:$A$148,Barèmes!$G$65:$G$148),IF(AND($A59&gt;=$B$5+$B$4,$A59&lt;=INT($B$8)-1+$B$4),LOOKUP($A59,Retraite!$A$7:$A$47,Retraite!$Q$7:Q$47)/LOOKUP($A59,Barèmes!$A$65:$A$148,Barèmes!$G$65:$G$148),IF($A59=INT($B$8+$B$4),(LOOKUP($A59,Retraite!$A$7:$A$47,Retraite!$Q$7:$Q$47)/LOOKUP($A59,Barèmes!$A$65:$A$148,Barèmes!$G$65:$G$148))*(1-(INT($B$8)+1-$B$8)),0)))</f>
        <v>3432.3523210582071</v>
      </c>
      <c r="J59" s="115"/>
    </row>
    <row r="60" spans="1:10" s="43" customFormat="1" ht="15.75" customHeight="1" x14ac:dyDescent="0.25">
      <c r="A60" s="125">
        <f t="shared" si="0"/>
        <v>2065</v>
      </c>
      <c r="B60" s="131">
        <f ca="1">IF($A60&lt;$B$5+$B$4,-LOOKUP($A60,Cot_droits!$A$17:$A$68,Cot_droits!$Q$17:$Q$68)/LOOKUP($A60,Barèmes!$A$65:$A$148,Barèmes!$G$65:$G$148),IF(AND($A60&gt;=$B$5+$B$4,$A60&lt;=INT($B$8)+$B$4-1),LOOKUP($A60,Retraite!$A$7:$A$47,Retraite!$K$7:$K$47)/LOOKUP($A60,Barèmes!$A$65:$A$148,Barèmes!$G$65:$G$148),IF($A60=INT($B$8+$B$4),(LOOKUP($A60,Retraite!$A$7:$A$47,Retraite!$K$7:$K$47)/LOOKUP($A60,Barèmes!$A$65:$A$148,Barèmes!$G$65:$G$148))*(1-(INT($B$8+1)-$B$8)),0)))</f>
        <v>18015.610343514345</v>
      </c>
      <c r="C60" s="121">
        <f ca="1">IF($A60&lt;$B$5+$B$4,-LOOKUP($A60,Cot_droits!$A$17:$A$68,Cot_droits!$Q$17:$Q$68)/LOOKUP($A60,Barèmes!$A$65:$A$148,Barèmes!$G$65:$G$148),IF(AND($A60&gt;=$B$5+$B$4,$A60&lt;=INT($B$8)-1+$B$4),LOOKUP($A60,Retraite!$A$7:$A$47,Retraite!N$7:$N$47)/LOOKUP($A60,Barèmes!$A$65:$A$148,Barèmes!$G$65:$G$148),IF($A60=INT($B$8+$B$4),(LOOKUP($A60,Retraite!$A$7:$A$47,Retraite!$N$7:$N$47)/LOOKUP($A60,Barèmes!$A$65:$A$148,Barèmes!$G$65:$G$148))*(1-(INT($B$8)+1-$B$8)),0)))</f>
        <v>16338.438875991009</v>
      </c>
      <c r="D60" s="115"/>
      <c r="E60" s="131">
        <f>IF($A60&lt;$B$5+$B$4,-(LOOKUP($A60,Cot_droits!$A$17:$A$68,Cot_droits!$H$17:$H$68)+LOOKUP($A60,Cot_droits!$A$17:$A$68,Cot_droits!$L$17:$L$68))/LOOKUP($A60,Barèmes!$A$65:$A$148,Barèmes!$G$65:$G$148),IF(AND($A60&gt;=$B$5+$B$4,$A60&lt;=INT($B$8)-1+$B$4),LOOKUP($A60,Retraite!$A$7:$A$47,Retraite!$L$7:$L$47)/LOOKUP($A60,Barèmes!$A$65:$A$148,Barèmes!$G$65:$G$148),IF($A60=INT($B$8+$B$4),(LOOKUP($A60,Retraite!$A$7:$A$47,Retraite!$L$7:$L$47)/LOOKUP($A60,Barèmes!$A$65:$A$148,Barèmes!$G$65:$G$148))*(1-(INT($B$8)+1-$B$8)),0)))</f>
        <v>14240.51771716132</v>
      </c>
      <c r="F60" s="121">
        <f ca="1">IF($A60&lt;$B$5+$B$4,-(LOOKUP($A60,Cot_droits!$A$17:$A$68,Cot_droits!$H$17:$H$68)+LOOKUP($A60,Cot_droits!$A$17:$A$68,Cot_droits!$L$17:$L$68))/LOOKUP($A60,Barèmes!$A$65:$A$148,Barèmes!$G$65:$G$148),IF(AND($A60&gt;=$B$5+$B$4,$A60&lt;=INT($B$8)-1+$B$4),LOOKUP($A60,Retraite!$A$7:$A$47,Retraite!$P$7:P$47)/LOOKUP($A60,Barèmes!$A$65:$A$148,Barèmes!$G$65:$G$148),IF($A60=INT($B$8+$B$4),(LOOKUP($A60,Retraite!$A$7:$A$47,Retraite!$P$7:$P$47)/LOOKUP($A60,Barèmes!$A$65:$A$148,Barèmes!$G$65:$G$148))*(1-(INT($B$8)+1-$B$8)),0)))</f>
        <v>12944.630604899639</v>
      </c>
      <c r="H60" s="131">
        <f ca="1">IF($A60&lt;$B$5+$B$4,-(LOOKUP($A60,Cot_droits!$A$17:$A$68,Cot_droits!$I$17:$I$68)+LOOKUP($A60,Cot_droits!$A$17:$A$68,Cot_droits!$J$17:$J$68)+LOOKUP($A60,Cot_droits!$A$17:$A$68,Cot_droits!$N$17:$N$68))/LOOKUP($A60,Barèmes!$A$65:$A$148,Barèmes!$G$65:$G$148),IF(AND($A60&gt;=$B$5+$B$4,$A60&lt;=INT($B$8)-1+$B$4),LOOKUP($A60,Retraite!$A$7:$A$47,Retraite!$M$7:$M$47)/LOOKUP($A60,Barèmes!$A$65:$A$148,Barèmes!$G$65:$G$148),IF($A60=INT($B$8+$B$4),(LOOKUP($A60,Retraite!$A$7:$A$47,Retraite!$M$7:$M$47)/LOOKUP($A60,Barèmes!$A$65:$A$148,Barèmes!$G$65:$G$148))*(1-(INT($B$8)+1-$B$8)),0)))</f>
        <v>3775.0926263530259</v>
      </c>
      <c r="I60" s="121">
        <f ca="1">IF($A60&lt;$B$5+$B$4,-(LOOKUP($A60,Cot_droits!$A$17:$A$68,Cot_droits!$I$17:$I$68)+LOOKUP($A60,Cot_droits!$A$17:$A$68,Cot_droits!$J$17:$J$68)+LOOKUP($A60,Cot_droits!$A$17:$A$68,Cot_droits!$N$17:$N$68))/LOOKUP($A60,Barèmes!$A$65:$A$148,Barèmes!$G$65:$G$148),IF(AND($A60&gt;=$B$5+$B$4,$A60&lt;=INT($B$8)-1+$B$4),LOOKUP($A60,Retraite!$A$7:$A$47,Retraite!$Q$7:Q$47)/LOOKUP($A60,Barèmes!$A$65:$A$148,Barèmes!$G$65:$G$148),IF($A60=INT($B$8+$B$4),(LOOKUP($A60,Retraite!$A$7:$A$47,Retraite!$Q$7:$Q$47)/LOOKUP($A60,Barèmes!$A$65:$A$148,Barèmes!$G$65:$G$148))*(1-(INT($B$8)+1-$B$8)),0)))</f>
        <v>3393.8082710913704</v>
      </c>
      <c r="J60" s="115"/>
    </row>
    <row r="61" spans="1:10" s="43" customFormat="1" ht="15.75" customHeight="1" x14ac:dyDescent="0.25">
      <c r="A61" s="125">
        <f t="shared" si="0"/>
        <v>2066</v>
      </c>
      <c r="B61" s="131">
        <f ca="1">IF($A61&lt;$B$5+$B$4,-LOOKUP($A61,Cot_droits!$A$17:$A$68,Cot_droits!$Q$17:$Q$68)/LOOKUP($A61,Barèmes!$A$65:$A$148,Barèmes!$G$65:$G$148),IF(AND($A61&gt;=$B$5+$B$4,$A61&lt;=INT($B$8)+$B$4-1),LOOKUP($A61,Retraite!$A$7:$A$47,Retraite!$K$7:$K$47)/LOOKUP($A61,Barèmes!$A$65:$A$148,Barèmes!$G$65:$G$148),IF($A61=INT($B$8+$B$4),(LOOKUP($A61,Retraite!$A$7:$A$47,Retraite!$K$7:$K$47)/LOOKUP($A61,Barèmes!$A$65:$A$148,Barèmes!$G$65:$G$148))*(1-(INT($B$8+1)-$B$8)),0)))</f>
        <v>17790.45699059805</v>
      </c>
      <c r="C61" s="121">
        <f ca="1">IF($A61&lt;$B$5+$B$4,-LOOKUP($A61,Cot_droits!$A$17:$A$68,Cot_droits!$Q$17:$Q$68)/LOOKUP($A61,Barèmes!$A$65:$A$148,Barèmes!$G$65:$G$148),IF(AND($A61&gt;=$B$5+$B$4,$A61&lt;=INT($B$8)-1+$B$4),LOOKUP($A61,Retraite!$A$7:$A$47,Retraite!N$7:$N$47)/LOOKUP($A61,Barèmes!$A$65:$A$148,Barèmes!$G$65:$G$148),IF($A61=INT($B$8+$B$4),(LOOKUP($A61,Retraite!$A$7:$A$47,Retraite!$N$7:$N$47)/LOOKUP($A61,Barèmes!$A$65:$A$148,Barèmes!$G$65:$G$148))*(1-(INT($B$8)+1-$B$8)),0)))</f>
        <v>16134.198502041834</v>
      </c>
      <c r="D61" s="115"/>
      <c r="E61" s="131">
        <f>IF($A61&lt;$B$5+$B$4,-(LOOKUP($A61,Cot_droits!$A$17:$A$68,Cot_droits!$H$17:$H$68)+LOOKUP($A61,Cot_droits!$A$17:$A$68,Cot_droits!$L$17:$L$68))/LOOKUP($A61,Barèmes!$A$65:$A$148,Barèmes!$G$65:$G$148),IF(AND($A61&gt;=$B$5+$B$4,$A61&lt;=INT($B$8)-1+$B$4),LOOKUP($A61,Retraite!$A$7:$A$47,Retraite!$L$7:$L$47)/LOOKUP($A61,Barèmes!$A$65:$A$148,Barèmes!$G$65:$G$148),IF($A61=INT($B$8+$B$4),(LOOKUP($A61,Retraite!$A$7:$A$47,Retraite!$L$7:$L$47)/LOOKUP($A61,Barèmes!$A$65:$A$148,Barèmes!$G$65:$G$148))*(1-(INT($B$8)+1-$B$8)),0)))</f>
        <v>14057.766749418874</v>
      </c>
      <c r="F61" s="121">
        <f ca="1">IF($A61&lt;$B$5+$B$4,-(LOOKUP($A61,Cot_droits!$A$17:$A$68,Cot_droits!$H$17:$H$68)+LOOKUP($A61,Cot_droits!$A$17:$A$68,Cot_droits!$L$17:$L$68))/LOOKUP($A61,Barèmes!$A$65:$A$148,Barèmes!$G$65:$G$148),IF(AND($A61&gt;=$B$5+$B$4,$A61&lt;=INT($B$8)-1+$B$4),LOOKUP($A61,Retraite!$A$7:$A$47,Retraite!$P$7:P$47)/LOOKUP($A61,Barèmes!$A$65:$A$148,Barèmes!$G$65:$G$148),IF($A61=INT($B$8+$B$4),(LOOKUP($A61,Retraite!$A$7:$A$47,Retraite!$P$7:$P$47)/LOOKUP($A61,Barèmes!$A$65:$A$148,Barèmes!$G$65:$G$148))*(1-(INT($B$8)+1-$B$8)),0)))</f>
        <v>12778.509975221756</v>
      </c>
      <c r="H61" s="131">
        <f ca="1">IF($A61&lt;$B$5+$B$4,-(LOOKUP($A61,Cot_droits!$A$17:$A$68,Cot_droits!$I$17:$I$68)+LOOKUP($A61,Cot_droits!$A$17:$A$68,Cot_droits!$J$17:$J$68)+LOOKUP($A61,Cot_droits!$A$17:$A$68,Cot_droits!$N$17:$N$68))/LOOKUP($A61,Barèmes!$A$65:$A$148,Barèmes!$G$65:$G$148),IF(AND($A61&gt;=$B$5+$B$4,$A61&lt;=INT($B$8)-1+$B$4),LOOKUP($A61,Retraite!$A$7:$A$47,Retraite!$M$7:$M$47)/LOOKUP($A61,Barèmes!$A$65:$A$148,Barèmes!$G$65:$G$148),IF($A61=INT($B$8+$B$4),(LOOKUP($A61,Retraite!$A$7:$A$47,Retraite!$M$7:$M$47)/LOOKUP($A61,Barèmes!$A$65:$A$148,Barèmes!$G$65:$G$148))*(1-(INT($B$8)+1-$B$8)),0)))</f>
        <v>3732.6902411791752</v>
      </c>
      <c r="I61" s="121">
        <f ca="1">IF($A61&lt;$B$5+$B$4,-(LOOKUP($A61,Cot_droits!$A$17:$A$68,Cot_droits!$I$17:$I$68)+LOOKUP($A61,Cot_droits!$A$17:$A$68,Cot_droits!$J$17:$J$68)+LOOKUP($A61,Cot_droits!$A$17:$A$68,Cot_droits!$N$17:$N$68))/LOOKUP($A61,Barèmes!$A$65:$A$148,Barèmes!$G$65:$G$148),IF(AND($A61&gt;=$B$5+$B$4,$A61&lt;=INT($B$8)-1+$B$4),LOOKUP($A61,Retraite!$A$7:$A$47,Retraite!$Q$7:Q$47)/LOOKUP($A61,Barèmes!$A$65:$A$148,Barèmes!$G$65:$G$148),IF($A61=INT($B$8+$B$4),(LOOKUP($A61,Retraite!$A$7:$A$47,Retraite!$Q$7:$Q$47)/LOOKUP($A61,Barèmes!$A$65:$A$148,Barèmes!$G$65:$G$148))*(1-(INT($B$8)+1-$B$8)),0)))</f>
        <v>3355.6885268200786</v>
      </c>
      <c r="J61" s="115"/>
    </row>
    <row r="62" spans="1:10" s="43" customFormat="1" ht="15.75" customHeight="1" x14ac:dyDescent="0.25">
      <c r="A62" s="125">
        <f t="shared" si="0"/>
        <v>2067</v>
      </c>
      <c r="B62" s="131">
        <f ca="1">IF($A62&lt;$B$5+$B$4,-LOOKUP($A62,Cot_droits!$A$17:$A$68,Cot_droits!$Q$17:$Q$68)/LOOKUP($A62,Barèmes!$A$65:$A$148,Barèmes!$G$65:$G$148),IF(AND($A62&gt;=$B$5+$B$4,$A62&lt;=INT($B$8)+$B$4-1),LOOKUP($A62,Retraite!$A$7:$A$47,Retraite!$K$7:$K$47)/LOOKUP($A62,Barèmes!$A$65:$A$148,Barèmes!$G$65:$G$148),IF($A62=INT($B$8+$B$4),(LOOKUP($A62,Retraite!$A$7:$A$47,Retraite!$K$7:$K$47)/LOOKUP($A62,Barèmes!$A$65:$A$148,Barèmes!$G$65:$G$148))*(1-(INT($B$8+1)-$B$8)),0)))</f>
        <v>17978.265545929928</v>
      </c>
      <c r="C62" s="121">
        <f ca="1">IF($A62&lt;$B$5+$B$4,-LOOKUP($A62,Cot_droits!$A$17:$A$68,Cot_droits!$Q$17:$Q$68)/LOOKUP($A62,Barèmes!$A$65:$A$148,Barèmes!$G$65:$G$148),IF(AND($A62&gt;=$B$5+$B$4,$A62&lt;=INT($B$8)-1+$B$4),LOOKUP($A62,Retraite!$A$7:$A$47,Retraite!N$7:$N$47)/LOOKUP($A62,Barèmes!$A$65:$A$148,Barèmes!$G$65:$G$148),IF($A62=INT($B$8+$B$4),(LOOKUP($A62,Retraite!$A$7:$A$47,Retraite!$N$7:$N$47)/LOOKUP($A62,Barèmes!$A$65:$A$148,Barèmes!$G$65:$G$148))*(1-(INT($B$8)+1-$B$8)),0)))</f>
        <v>16301.234336347954</v>
      </c>
      <c r="D62" s="115"/>
      <c r="E62" s="131">
        <f>IF($A62&lt;$B$5+$B$4,-(LOOKUP($A62,Cot_droits!$A$17:$A$68,Cot_droits!$H$17:$H$68)+LOOKUP($A62,Cot_droits!$A$17:$A$68,Cot_droits!$L$17:$L$68))/LOOKUP($A62,Barèmes!$A$65:$A$148,Barèmes!$G$65:$G$148),IF(AND($A62&gt;=$B$5+$B$4,$A62&lt;=INT($B$8)-1+$B$4),LOOKUP($A62,Retraite!$A$7:$A$47,Retraite!$L$7:$L$47)/LOOKUP($A62,Barèmes!$A$65:$A$148,Barèmes!$G$65:$G$148),IF($A62=INT($B$8+$B$4),(LOOKUP($A62,Retraite!$A$7:$A$47,Retraite!$L$7:$L$47)/LOOKUP($A62,Barèmes!$A$65:$A$148,Barèmes!$G$65:$G$148))*(1-(INT($B$8)+1-$B$8)),0)))</f>
        <v>13877.361055694844</v>
      </c>
      <c r="F62" s="121">
        <f ca="1">IF($A62&lt;$B$5+$B$4,-(LOOKUP($A62,Cot_droits!$A$17:$A$68,Cot_droits!$H$17:$H$68)+LOOKUP($A62,Cot_droits!$A$17:$A$68,Cot_droits!$L$17:$L$68))/LOOKUP($A62,Barèmes!$A$65:$A$148,Barèmes!$G$65:$G$148),IF(AND($A62&gt;=$B$5+$B$4,$A62&lt;=INT($B$8)-1+$B$4),LOOKUP($A62,Retraite!$A$7:$A$47,Retraite!$P$7:P$47)/LOOKUP($A62,Barèmes!$A$65:$A$148,Barèmes!$G$65:$G$148),IF($A62=INT($B$8+$B$4),(LOOKUP($A62,Retraite!$A$7:$A$47,Retraite!$P$7:$P$47)/LOOKUP($A62,Barèmes!$A$65:$A$148,Barèmes!$G$65:$G$148))*(1-(INT($B$8)+1-$B$8)),0)))</f>
        <v>12614.521199626613</v>
      </c>
      <c r="H62" s="131">
        <f ca="1">IF($A62&lt;$B$5+$B$4,-(LOOKUP($A62,Cot_droits!$A$17:$A$68,Cot_droits!$I$17:$I$68)+LOOKUP($A62,Cot_droits!$A$17:$A$68,Cot_droits!$J$17:$J$68)+LOOKUP($A62,Cot_droits!$A$17:$A$68,Cot_droits!$N$17:$N$68))/LOOKUP($A62,Barèmes!$A$65:$A$148,Barèmes!$G$65:$G$148),IF(AND($A62&gt;=$B$5+$B$4,$A62&lt;=INT($B$8)-1+$B$4),LOOKUP($A62,Retraite!$A$7:$A$47,Retraite!$M$7:$M$47)/LOOKUP($A62,Barèmes!$A$65:$A$148,Barèmes!$G$65:$G$148),IF($A62=INT($B$8+$B$4),(LOOKUP($A62,Retraite!$A$7:$A$47,Retraite!$M$7:$M$47)/LOOKUP($A62,Barèmes!$A$65:$A$148,Barèmes!$G$65:$G$148))*(1-(INT($B$8)+1-$B$8)),0)))</f>
        <v>4100.9044902350852</v>
      </c>
      <c r="I62" s="121">
        <f ca="1">IF($A62&lt;$B$5+$B$4,-(LOOKUP($A62,Cot_droits!$A$17:$A$68,Cot_droits!$I$17:$I$68)+LOOKUP($A62,Cot_droits!$A$17:$A$68,Cot_droits!$J$17:$J$68)+LOOKUP($A62,Cot_droits!$A$17:$A$68,Cot_droits!$N$17:$N$68))/LOOKUP($A62,Barèmes!$A$65:$A$148,Barèmes!$G$65:$G$148),IF(AND($A62&gt;=$B$5+$B$4,$A62&lt;=INT($B$8)-1+$B$4),LOOKUP($A62,Retraite!$A$7:$A$47,Retraite!$Q$7:Q$47)/LOOKUP($A62,Barèmes!$A$65:$A$148,Barèmes!$G$65:$G$148),IF($A62=INT($B$8+$B$4),(LOOKUP($A62,Retraite!$A$7:$A$47,Retraite!$Q$7:$Q$47)/LOOKUP($A62,Barèmes!$A$65:$A$148,Barèmes!$G$65:$G$148))*(1-(INT($B$8)+1-$B$8)),0)))</f>
        <v>3686.7131367213419</v>
      </c>
      <c r="J62" s="115"/>
    </row>
    <row r="63" spans="1:10" s="43" customFormat="1" ht="15.75" customHeight="1" x14ac:dyDescent="0.25">
      <c r="A63" s="125">
        <f t="shared" si="0"/>
        <v>2068</v>
      </c>
      <c r="B63" s="131">
        <f ca="1">IF($A63&lt;$B$5+$B$4,-LOOKUP($A63,Cot_droits!$A$17:$A$68,Cot_droits!$Q$17:$Q$68)/LOOKUP($A63,Barèmes!$A$65:$A$148,Barèmes!$G$65:$G$148),IF(AND($A63&gt;=$B$5+$B$4,$A63&lt;=INT($B$8)+$B$4-1),LOOKUP($A63,Retraite!$A$7:$A$47,Retraite!$K$7:$K$47)/LOOKUP($A63,Barèmes!$A$65:$A$148,Barèmes!$G$65:$G$148),IF($A63=INT($B$8+$B$4),(LOOKUP($A63,Retraite!$A$7:$A$47,Retraite!$K$7:$K$47)/LOOKUP($A63,Barèmes!$A$65:$A$148,Barèmes!$G$65:$G$148))*(1-(INT($B$8+1)-$B$8)),0)))</f>
        <v>17754.103004750839</v>
      </c>
      <c r="C63" s="121">
        <f ca="1">IF($A63&lt;$B$5+$B$4,-LOOKUP($A63,Cot_droits!$A$17:$A$68,Cot_droits!$Q$17:$Q$68)/LOOKUP($A63,Barèmes!$A$65:$A$148,Barèmes!$G$65:$G$148),IF(AND($A63&gt;=$B$5+$B$4,$A63&lt;=INT($B$8)-1+$B$4),LOOKUP($A63,Retraite!$A$7:$A$47,Retraite!N$7:$N$47)/LOOKUP($A63,Barèmes!$A$65:$A$148,Barèmes!$G$65:$G$148),IF($A63=INT($B$8+$B$4),(LOOKUP($A63,Retraite!$A$7:$A$47,Retraite!$N$7:$N$47)/LOOKUP($A63,Barèmes!$A$65:$A$148,Barèmes!$G$65:$G$148))*(1-(INT($B$8)+1-$B$8)),0)))</f>
        <v>16097.931306657923</v>
      </c>
      <c r="D63" s="115"/>
      <c r="E63" s="131">
        <f>IF($A63&lt;$B$5+$B$4,-(LOOKUP($A63,Cot_droits!$A$17:$A$68,Cot_droits!$H$17:$H$68)+LOOKUP($A63,Cot_droits!$A$17:$A$68,Cot_droits!$L$17:$L$68))/LOOKUP($A63,Barèmes!$A$65:$A$148,Barèmes!$G$65:$G$148),IF(AND($A63&gt;=$B$5+$B$4,$A63&lt;=INT($B$8)-1+$B$4),LOOKUP($A63,Retraite!$A$7:$A$47,Retraite!$L$7:$L$47)/LOOKUP($A63,Barèmes!$A$65:$A$148,Barèmes!$G$65:$G$148),IF($A63=INT($B$8+$B$4),(LOOKUP($A63,Retraite!$A$7:$A$47,Retraite!$L$7:$L$47)/LOOKUP($A63,Barèmes!$A$65:$A$148,Barèmes!$G$65:$G$148))*(1-(INT($B$8)+1-$B$8)),0)))</f>
        <v>13699.27053869185</v>
      </c>
      <c r="F63" s="121">
        <f ca="1">IF($A63&lt;$B$5+$B$4,-(LOOKUP($A63,Cot_droits!$A$17:$A$68,Cot_droits!$H$17:$H$68)+LOOKUP($A63,Cot_droits!$A$17:$A$68,Cot_droits!$L$17:$L$68))/LOOKUP($A63,Barèmes!$A$65:$A$148,Barèmes!$G$65:$G$148),IF(AND($A63&gt;=$B$5+$B$4,$A63&lt;=INT($B$8)-1+$B$4),LOOKUP($A63,Retraite!$A$7:$A$47,Retraite!$P$7:P$47)/LOOKUP($A63,Barèmes!$A$65:$A$148,Barèmes!$G$65:$G$148),IF($A63=INT($B$8+$B$4),(LOOKUP($A63,Retraite!$A$7:$A$47,Retraite!$P$7:$P$47)/LOOKUP($A63,Barèmes!$A$65:$A$148,Barèmes!$G$65:$G$148))*(1-(INT($B$8)+1-$B$8)),0)))</f>
        <v>12452.636919670891</v>
      </c>
      <c r="H63" s="131">
        <f ca="1">IF($A63&lt;$B$5+$B$4,-(LOOKUP($A63,Cot_droits!$A$17:$A$68,Cot_droits!$I$17:$I$68)+LOOKUP($A63,Cot_droits!$A$17:$A$68,Cot_droits!$J$17:$J$68)+LOOKUP($A63,Cot_droits!$A$17:$A$68,Cot_droits!$N$17:$N$68))/LOOKUP($A63,Barèmes!$A$65:$A$148,Barèmes!$G$65:$G$148),IF(AND($A63&gt;=$B$5+$B$4,$A63&lt;=INT($B$8)-1+$B$4),LOOKUP($A63,Retraite!$A$7:$A$47,Retraite!$M$7:$M$47)/LOOKUP($A63,Barèmes!$A$65:$A$148,Barèmes!$G$65:$G$148),IF($A63=INT($B$8+$B$4),(LOOKUP($A63,Retraite!$A$7:$A$47,Retraite!$M$7:$M$47)/LOOKUP($A63,Barèmes!$A$65:$A$148,Barèmes!$G$65:$G$148))*(1-(INT($B$8)+1-$B$8)),0)))</f>
        <v>4054.832466058991</v>
      </c>
      <c r="I63" s="121">
        <f ca="1">IF($A63&lt;$B$5+$B$4,-(LOOKUP($A63,Cot_droits!$A$17:$A$68,Cot_droits!$I$17:$I$68)+LOOKUP($A63,Cot_droits!$A$17:$A$68,Cot_droits!$J$17:$J$68)+LOOKUP($A63,Cot_droits!$A$17:$A$68,Cot_droits!$N$17:$N$68))/LOOKUP($A63,Barèmes!$A$65:$A$148,Barèmes!$G$65:$G$148),IF(AND($A63&gt;=$B$5+$B$4,$A63&lt;=INT($B$8)-1+$B$4),LOOKUP($A63,Retraite!$A$7:$A$47,Retraite!$Q$7:Q$47)/LOOKUP($A63,Barèmes!$A$65:$A$148,Barèmes!$G$65:$G$148),IF($A63=INT($B$8+$B$4),(LOOKUP($A63,Retraite!$A$7:$A$47,Retraite!$Q$7:$Q$47)/LOOKUP($A63,Barèmes!$A$65:$A$148,Barèmes!$G$65:$G$148))*(1-(INT($B$8)+1-$B$8)),0)))</f>
        <v>3645.2943869870332</v>
      </c>
      <c r="J63" s="115"/>
    </row>
    <row r="64" spans="1:10" s="43" customFormat="1" ht="15.75" customHeight="1" x14ac:dyDescent="0.25">
      <c r="A64" s="125">
        <f t="shared" si="0"/>
        <v>2069</v>
      </c>
      <c r="B64" s="131">
        <f ca="1">IF($A64&lt;$B$5+$B$4,-LOOKUP($A64,Cot_droits!$A$17:$A$68,Cot_droits!$Q$17:$Q$68)/LOOKUP($A64,Barèmes!$A$65:$A$148,Barèmes!$G$65:$G$148),IF(AND($A64&gt;=$B$5+$B$4,$A64&lt;=INT($B$8)+$B$4-1),LOOKUP($A64,Retraite!$A$7:$A$47,Retraite!$K$7:$K$47)/LOOKUP($A64,Barèmes!$A$65:$A$148,Barèmes!$G$65:$G$148),IF($A64=INT($B$8+$B$4),(LOOKUP($A64,Retraite!$A$7:$A$47,Retraite!$K$7:$K$47)/LOOKUP($A64,Barèmes!$A$65:$A$148,Barèmes!$G$65:$G$148))*(1-(INT($B$8+1)-$B$8)),0)))</f>
        <v>17532.765161174764</v>
      </c>
      <c r="C64" s="121">
        <f ca="1">IF($A64&lt;$B$5+$B$4,-LOOKUP($A64,Cot_droits!$A$17:$A$68,Cot_droits!$Q$17:$Q$68)/LOOKUP($A64,Barèmes!$A$65:$A$148,Barèmes!$G$65:$G$148),IF(AND($A64&gt;=$B$5+$B$4,$A64&lt;=INT($B$8)-1+$B$4),LOOKUP($A64,Retraite!$A$7:$A$47,Retraite!N$7:$N$47)/LOOKUP($A64,Barèmes!$A$65:$A$148,Barèmes!$G$65:$G$148),IF($A64=INT($B$8+$B$4),(LOOKUP($A64,Retraite!$A$7:$A$47,Retraite!$N$7:$N$47)/LOOKUP($A64,Barèmes!$A$65:$A$148,Barèmes!$G$65:$G$148))*(1-(INT($B$8)+1-$B$8)),0)))</f>
        <v>15897.190534769676</v>
      </c>
      <c r="D64" s="115"/>
      <c r="E64" s="131">
        <f>IF($A64&lt;$B$5+$B$4,-(LOOKUP($A64,Cot_droits!$A$17:$A$68,Cot_droits!$H$17:$H$68)+LOOKUP($A64,Cot_droits!$A$17:$A$68,Cot_droits!$L$17:$L$68))/LOOKUP($A64,Barèmes!$A$65:$A$148,Barèmes!$G$65:$G$148),IF(AND($A64&gt;=$B$5+$B$4,$A64&lt;=INT($B$8)-1+$B$4),LOOKUP($A64,Retraite!$A$7:$A$47,Retraite!$L$7:$L$47)/LOOKUP($A64,Barèmes!$A$65:$A$148,Barèmes!$G$65:$G$148),IF($A64=INT($B$8+$B$4),(LOOKUP($A64,Retraite!$A$7:$A$47,Retraite!$L$7:$L$47)/LOOKUP($A64,Barèmes!$A$65:$A$148,Barèmes!$G$65:$G$148))*(1-(INT($B$8)+1-$B$8)),0)))</f>
        <v>13523.465487356219</v>
      </c>
      <c r="F64" s="121">
        <f ca="1">IF($A64&lt;$B$5+$B$4,-(LOOKUP($A64,Cot_droits!$A$17:$A$68,Cot_droits!$H$17:$H$68)+LOOKUP($A64,Cot_droits!$A$17:$A$68,Cot_droits!$L$17:$L$68))/LOOKUP($A64,Barèmes!$A$65:$A$148,Barèmes!$G$65:$G$148),IF(AND($A64&gt;=$B$5+$B$4,$A64&lt;=INT($B$8)-1+$B$4),LOOKUP($A64,Retraite!$A$7:$A$47,Retraite!$P$7:P$47)/LOOKUP($A64,Barèmes!$A$65:$A$148,Barèmes!$G$65:$G$148),IF($A64=INT($B$8+$B$4),(LOOKUP($A64,Retraite!$A$7:$A$47,Retraite!$P$7:$P$47)/LOOKUP($A64,Barèmes!$A$65:$A$148,Barèmes!$G$65:$G$148))*(1-(INT($B$8)+1-$B$8)),0)))</f>
        <v>12292.830128006803</v>
      </c>
      <c r="H64" s="131">
        <f ca="1">IF($A64&lt;$B$5+$B$4,-(LOOKUP($A64,Cot_droits!$A$17:$A$68,Cot_droits!$I$17:$I$68)+LOOKUP($A64,Cot_droits!$A$17:$A$68,Cot_droits!$J$17:$J$68)+LOOKUP($A64,Cot_droits!$A$17:$A$68,Cot_droits!$N$17:$N$68))/LOOKUP($A64,Barèmes!$A$65:$A$148,Barèmes!$G$65:$G$148),IF(AND($A64&gt;=$B$5+$B$4,$A64&lt;=INT($B$8)-1+$B$4),LOOKUP($A64,Retraite!$A$7:$A$47,Retraite!$M$7:$M$47)/LOOKUP($A64,Barèmes!$A$65:$A$148,Barèmes!$G$65:$G$148),IF($A64=INT($B$8+$B$4),(LOOKUP($A64,Retraite!$A$7:$A$47,Retraite!$M$7:$M$47)/LOOKUP($A64,Barèmes!$A$65:$A$148,Barèmes!$G$65:$G$148))*(1-(INT($B$8)+1-$B$8)),0)))</f>
        <v>4009.2996738185439</v>
      </c>
      <c r="I64" s="121">
        <f ca="1">IF($A64&lt;$B$5+$B$4,-(LOOKUP($A64,Cot_droits!$A$17:$A$68,Cot_droits!$I$17:$I$68)+LOOKUP($A64,Cot_droits!$A$17:$A$68,Cot_droits!$J$17:$J$68)+LOOKUP($A64,Cot_droits!$A$17:$A$68,Cot_droits!$N$17:$N$68))/LOOKUP($A64,Barèmes!$A$65:$A$148,Barèmes!$G$65:$G$148),IF(AND($A64&gt;=$B$5+$B$4,$A64&lt;=INT($B$8)-1+$B$4),LOOKUP($A64,Retraite!$A$7:$A$47,Retraite!$Q$7:Q$47)/LOOKUP($A64,Barèmes!$A$65:$A$148,Barèmes!$G$65:$G$148),IF($A64=INT($B$8+$B$4),(LOOKUP($A64,Retraite!$A$7:$A$47,Retraite!$Q$7:$Q$47)/LOOKUP($A64,Barèmes!$A$65:$A$148,Barèmes!$G$65:$G$148))*(1-(INT($B$8)+1-$B$8)),0)))</f>
        <v>3604.3604067628712</v>
      </c>
      <c r="J64" s="115"/>
    </row>
    <row r="65" spans="1:10" s="43" customFormat="1" ht="15.75" customHeight="1" x14ac:dyDescent="0.25">
      <c r="A65" s="125">
        <f t="shared" si="0"/>
        <v>2070</v>
      </c>
      <c r="B65" s="131">
        <f ca="1">IF($A65&lt;$B$5+$B$4,-LOOKUP($A65,Cot_droits!$A$17:$A$68,Cot_droits!$Q$17:$Q$68)/LOOKUP($A65,Barèmes!$A$65:$A$148,Barèmes!$G$65:$G$148),IF(AND($A65&gt;=$B$5+$B$4,$A65&lt;=INT($B$8)+$B$4-1),LOOKUP($A65,Retraite!$A$7:$A$47,Retraite!$K$7:$K$47)/LOOKUP($A65,Barèmes!$A$65:$A$148,Barèmes!$G$65:$G$148),IF($A65=INT($B$8+$B$4),(LOOKUP($A65,Retraite!$A$7:$A$47,Retraite!$K$7:$K$47)/LOOKUP($A65,Barèmes!$A$65:$A$148,Barèmes!$G$65:$G$148))*(1-(INT($B$8+1)-$B$8)),0)))</f>
        <v>17314.188645433787</v>
      </c>
      <c r="C65" s="121">
        <f ca="1">IF($A65&lt;$B$5+$B$4,-LOOKUP($A65,Cot_droits!$A$17:$A$68,Cot_droits!$Q$17:$Q$68)/LOOKUP($A65,Barèmes!$A$65:$A$148,Barèmes!$G$65:$G$148),IF(AND($A65&gt;=$B$5+$B$4,$A65&lt;=INT($B$8)-1+$B$4),LOOKUP($A65,Retraite!$A$7:$A$47,Retraite!N$7:$N$47)/LOOKUP($A65,Barèmes!$A$65:$A$148,Barèmes!$G$65:$G$148),IF($A65=INT($B$8+$B$4),(LOOKUP($A65,Retraite!$A$7:$A$47,Retraite!$N$7:$N$47)/LOOKUP($A65,Barèmes!$A$65:$A$148,Barèmes!$G$65:$G$148))*(1-(INT($B$8)+1-$B$8)),0)))</f>
        <v>15698.954757964186</v>
      </c>
      <c r="D65" s="115"/>
      <c r="E65" s="131">
        <f>IF($A65&lt;$B$5+$B$4,-(LOOKUP($A65,Cot_droits!$A$17:$A$68,Cot_droits!$H$17:$H$68)+LOOKUP($A65,Cot_droits!$A$17:$A$68,Cot_droits!$L$17:$L$68))/LOOKUP($A65,Barèmes!$A$65:$A$148,Barèmes!$G$65:$G$148),IF(AND($A65&gt;=$B$5+$B$4,$A65&lt;=INT($B$8)-1+$B$4),LOOKUP($A65,Retraite!$A$7:$A$47,Retraite!$L$7:$L$47)/LOOKUP($A65,Barèmes!$A$65:$A$148,Barèmes!$G$65:$G$148),IF($A65=INT($B$8+$B$4),(LOOKUP($A65,Retraite!$A$7:$A$47,Retraite!$L$7:$L$47)/LOOKUP($A65,Barèmes!$A$65:$A$148,Barèmes!$G$65:$G$148))*(1-(INT($B$8)+1-$B$8)),0)))</f>
        <v>13349.916571921243</v>
      </c>
      <c r="F65" s="121">
        <f ca="1">IF($A65&lt;$B$5+$B$4,-(LOOKUP($A65,Cot_droits!$A$17:$A$68,Cot_droits!$H$17:$H$68)+LOOKUP($A65,Cot_droits!$A$17:$A$68,Cot_droits!$L$17:$L$68))/LOOKUP($A65,Barèmes!$A$65:$A$148,Barèmes!$G$65:$G$148),IF(AND($A65&gt;=$B$5+$B$4,$A65&lt;=INT($B$8)-1+$B$4),LOOKUP($A65,Retraite!$A$7:$A$47,Retraite!$P$7:P$47)/LOOKUP($A65,Barèmes!$A$65:$A$148,Barèmes!$G$65:$G$148),IF($A65=INT($B$8+$B$4),(LOOKUP($A65,Retraite!$A$7:$A$47,Retraite!$P$7:$P$47)/LOOKUP($A65,Barèmes!$A$65:$A$148,Barèmes!$G$65:$G$148))*(1-(INT($B$8)+1-$B$8)),0)))</f>
        <v>12135.07416387641</v>
      </c>
      <c r="H65" s="131">
        <f ca="1">IF($A65&lt;$B$5+$B$4,-(LOOKUP($A65,Cot_droits!$A$17:$A$68,Cot_droits!$I$17:$I$68)+LOOKUP($A65,Cot_droits!$A$17:$A$68,Cot_droits!$J$17:$J$68)+LOOKUP($A65,Cot_droits!$A$17:$A$68,Cot_droits!$N$17:$N$68))/LOOKUP($A65,Barèmes!$A$65:$A$148,Barèmes!$G$65:$G$148),IF(AND($A65&gt;=$B$5+$B$4,$A65&lt;=INT($B$8)-1+$B$4),LOOKUP($A65,Retraite!$A$7:$A$47,Retraite!$M$7:$M$47)/LOOKUP($A65,Barèmes!$A$65:$A$148,Barèmes!$G$65:$G$148),IF($A65=INT($B$8+$B$4),(LOOKUP($A65,Retraite!$A$7:$A$47,Retraite!$M$7:$M$47)/LOOKUP($A65,Barèmes!$A$65:$A$148,Barèmes!$G$65:$G$148))*(1-(INT($B$8)+1-$B$8)),0)))</f>
        <v>3964.2720735125404</v>
      </c>
      <c r="I65" s="121">
        <f ca="1">IF($A65&lt;$B$5+$B$4,-(LOOKUP($A65,Cot_droits!$A$17:$A$68,Cot_droits!$I$17:$I$68)+LOOKUP($A65,Cot_droits!$A$17:$A$68,Cot_droits!$J$17:$J$68)+LOOKUP($A65,Cot_droits!$A$17:$A$68,Cot_droits!$N$17:$N$68))/LOOKUP($A65,Barèmes!$A$65:$A$148,Barèmes!$G$65:$G$148),IF(AND($A65&gt;=$B$5+$B$4,$A65&lt;=INT($B$8)-1+$B$4),LOOKUP($A65,Retraite!$A$7:$A$47,Retraite!$Q$7:Q$47)/LOOKUP($A65,Barèmes!$A$65:$A$148,Barèmes!$G$65:$G$148),IF($A65=INT($B$8+$B$4),(LOOKUP($A65,Retraite!$A$7:$A$47,Retraite!$Q$7:$Q$47)/LOOKUP($A65,Barèmes!$A$65:$A$148,Barèmes!$G$65:$G$148))*(1-(INT($B$8)+1-$B$8)),0)))</f>
        <v>3563.8805940877737</v>
      </c>
      <c r="J65" s="115"/>
    </row>
    <row r="66" spans="1:10" s="43" customFormat="1" ht="15.75" customHeight="1" x14ac:dyDescent="0.25">
      <c r="A66" s="125">
        <f t="shared" si="0"/>
        <v>2071</v>
      </c>
      <c r="B66" s="131">
        <f ca="1">IF($A66&lt;$B$5+$B$4,-LOOKUP($A66,Cot_droits!$A$17:$A$68,Cot_droits!$Q$17:$Q$68)/LOOKUP($A66,Barèmes!$A$65:$A$148,Barèmes!$G$65:$G$148),IF(AND($A66&gt;=$B$5+$B$4,$A66&lt;=INT($B$8)+$B$4-1),LOOKUP($A66,Retraite!$A$7:$A$47,Retraite!$K$7:$K$47)/LOOKUP($A66,Barèmes!$A$65:$A$148,Barèmes!$G$65:$G$148),IF($A66=INT($B$8+$B$4),(LOOKUP($A66,Retraite!$A$7:$A$47,Retraite!$K$7:$K$47)/LOOKUP($A66,Barèmes!$A$65:$A$148,Barèmes!$G$65:$G$148))*(1-(INT($B$8+1)-$B$8)),0)))</f>
        <v>17098.310275519507</v>
      </c>
      <c r="C66" s="121">
        <f ca="1">IF($A66&lt;$B$5+$B$4,-LOOKUP($A66,Cot_droits!$A$17:$A$68,Cot_droits!$Q$17:$Q$68)/LOOKUP($A66,Barèmes!$A$65:$A$148,Barèmes!$G$65:$G$148),IF(AND($A66&gt;=$B$5+$B$4,$A66&lt;=INT($B$8)-1+$B$4),LOOKUP($A66,Retraite!$A$7:$A$47,Retraite!N$7:$N$47)/LOOKUP($A66,Barèmes!$A$65:$A$148,Barèmes!$G$65:$G$148),IF($A66=INT($B$8+$B$4),(LOOKUP($A66,Retraite!$A$7:$A$47,Retraite!$N$7:$N$47)/LOOKUP($A66,Barèmes!$A$65:$A$148,Barèmes!$G$65:$G$148))*(1-(INT($B$8)+1-$B$8)),0)))</f>
        <v>15503.166886082177</v>
      </c>
      <c r="D66" s="115"/>
      <c r="E66" s="131">
        <f>IF($A66&lt;$B$5+$B$4,-(LOOKUP($A66,Cot_droits!$A$17:$A$68,Cot_droits!$H$17:$H$68)+LOOKUP($A66,Cot_droits!$A$17:$A$68,Cot_droits!$L$17:$L$68))/LOOKUP($A66,Barèmes!$A$65:$A$148,Barèmes!$G$65:$G$148),IF(AND($A66&gt;=$B$5+$B$4,$A66&lt;=INT($B$8)-1+$B$4),LOOKUP($A66,Retraite!$A$7:$A$47,Retraite!$L$7:$L$47)/LOOKUP($A66,Barèmes!$A$65:$A$148,Barèmes!$G$65:$G$148),IF($A66=INT($B$8+$B$4),(LOOKUP($A66,Retraite!$A$7:$A$47,Retraite!$L$7:$L$47)/LOOKUP($A66,Barèmes!$A$65:$A$148,Barèmes!$G$65:$G$148))*(1-(INT($B$8)+1-$B$8)),0)))</f>
        <v>13178.59483901406</v>
      </c>
      <c r="F66" s="121">
        <f ca="1">IF($A66&lt;$B$5+$B$4,-(LOOKUP($A66,Cot_droits!$A$17:$A$68,Cot_droits!$H$17:$H$68)+LOOKUP($A66,Cot_droits!$A$17:$A$68,Cot_droits!$L$17:$L$68))/LOOKUP($A66,Barèmes!$A$65:$A$148,Barèmes!$G$65:$G$148),IF(AND($A66&gt;=$B$5+$B$4,$A66&lt;=INT($B$8)-1+$B$4),LOOKUP($A66,Retraite!$A$7:$A$47,Retraite!$P$7:P$47)/LOOKUP($A66,Barèmes!$A$65:$A$148,Barèmes!$G$65:$G$148),IF($A66=INT($B$8+$B$4),(LOOKUP($A66,Retraite!$A$7:$A$47,Retraite!$P$7:$P$47)/LOOKUP($A66,Barèmes!$A$65:$A$148,Barèmes!$G$65:$G$148))*(1-(INT($B$8)+1-$B$8)),0)))</f>
        <v>11979.342708663782</v>
      </c>
      <c r="H66" s="131">
        <f ca="1">IF($A66&lt;$B$5+$B$4,-(LOOKUP($A66,Cot_droits!$A$17:$A$68,Cot_droits!$I$17:$I$68)+LOOKUP($A66,Cot_droits!$A$17:$A$68,Cot_droits!$J$17:$J$68)+LOOKUP($A66,Cot_droits!$A$17:$A$68,Cot_droits!$N$17:$N$68))/LOOKUP($A66,Barèmes!$A$65:$A$148,Barèmes!$G$65:$G$148),IF(AND($A66&gt;=$B$5+$B$4,$A66&lt;=INT($B$8)-1+$B$4),LOOKUP($A66,Retraite!$A$7:$A$47,Retraite!$M$7:$M$47)/LOOKUP($A66,Barèmes!$A$65:$A$148,Barèmes!$G$65:$G$148),IF($A66=INT($B$8+$B$4),(LOOKUP($A66,Retraite!$A$7:$A$47,Retraite!$M$7:$M$47)/LOOKUP($A66,Barèmes!$A$65:$A$148,Barèmes!$G$65:$G$148))*(1-(INT($B$8)+1-$B$8)),0)))</f>
        <v>3919.7154365054457</v>
      </c>
      <c r="I66" s="121">
        <f ca="1">IF($A66&lt;$B$5+$B$4,-(LOOKUP($A66,Cot_droits!$A$17:$A$68,Cot_droits!$I$17:$I$68)+LOOKUP($A66,Cot_droits!$A$17:$A$68,Cot_droits!$J$17:$J$68)+LOOKUP($A66,Cot_droits!$A$17:$A$68,Cot_droits!$N$17:$N$68))/LOOKUP($A66,Barèmes!$A$65:$A$148,Barèmes!$G$65:$G$148),IF(AND($A66&gt;=$B$5+$B$4,$A66&lt;=INT($B$8)-1+$B$4),LOOKUP($A66,Retraite!$A$7:$A$47,Retraite!$Q$7:Q$47)/LOOKUP($A66,Barèmes!$A$65:$A$148,Barèmes!$G$65:$G$148),IF($A66=INT($B$8+$B$4),(LOOKUP($A66,Retraite!$A$7:$A$47,Retraite!$Q$7:$Q$47)/LOOKUP($A66,Barèmes!$A$65:$A$148,Barèmes!$G$65:$G$148))*(1-(INT($B$8)+1-$B$8)),0)))</f>
        <v>3523.8241774183957</v>
      </c>
      <c r="J66" s="115"/>
    </row>
    <row r="67" spans="1:10" s="43" customFormat="1" ht="15.75" customHeight="1" x14ac:dyDescent="0.25">
      <c r="A67" s="125">
        <f t="shared" si="0"/>
        <v>2072</v>
      </c>
      <c r="B67" s="131">
        <f ca="1">IF($A67&lt;$B$5+$B$4,-LOOKUP($A67,Cot_droits!$A$17:$A$68,Cot_droits!$Q$17:$Q$68)/LOOKUP($A67,Barèmes!$A$65:$A$148,Barèmes!$G$65:$G$148),IF(AND($A67&gt;=$B$5+$B$4,$A67&lt;=INT($B$8)+$B$4-1),LOOKUP($A67,Retraite!$A$7:$A$47,Retraite!$K$7:$K$47)/LOOKUP($A67,Barèmes!$A$65:$A$148,Barèmes!$G$65:$G$148),IF($A67=INT($B$8+$B$4),(LOOKUP($A67,Retraite!$A$7:$A$47,Retraite!$K$7:$K$47)/LOOKUP($A67,Barèmes!$A$65:$A$148,Barèmes!$G$65:$G$148))*(1-(INT($B$8+1)-$B$8)),0)))</f>
        <v>16885.073932939606</v>
      </c>
      <c r="C67" s="121">
        <f ca="1">IF($A67&lt;$B$5+$B$4,-LOOKUP($A67,Cot_droits!$A$17:$A$68,Cot_droits!$Q$17:$Q$68)/LOOKUP($A67,Barèmes!$A$65:$A$148,Barèmes!$G$65:$G$148),IF(AND($A67&gt;=$B$5+$B$4,$A67&lt;=INT($B$8)-1+$B$4),LOOKUP($A67,Retraite!$A$7:$A$47,Retraite!N$7:$N$47)/LOOKUP($A67,Barèmes!$A$65:$A$148,Barèmes!$G$65:$G$148),IF($A67=INT($B$8+$B$4),(LOOKUP($A67,Retraite!$A$7:$A$47,Retraite!$N$7:$N$47)/LOOKUP($A67,Barèmes!$A$65:$A$148,Barèmes!$G$65:$G$148))*(1-(INT($B$8)+1-$B$8)),0)))</f>
        <v>15309.776182780959</v>
      </c>
      <c r="D67" s="115"/>
      <c r="E67" s="131">
        <f>IF($A67&lt;$B$5+$B$4,-(LOOKUP($A67,Cot_droits!$A$17:$A$68,Cot_droits!$H$17:$H$68)+LOOKUP($A67,Cot_droits!$A$17:$A$68,Cot_droits!$L$17:$L$68))/LOOKUP($A67,Barèmes!$A$65:$A$148,Barèmes!$G$65:$G$148),IF(AND($A67&gt;=$B$5+$B$4,$A67&lt;=INT($B$8)-1+$B$4),LOOKUP($A67,Retraite!$A$7:$A$47,Retraite!$L$7:$L$47)/LOOKUP($A67,Barèmes!$A$65:$A$148,Barèmes!$G$65:$G$148),IF($A67=INT($B$8+$B$4),(LOOKUP($A67,Retraite!$A$7:$A$47,Retraite!$L$7:$L$47)/LOOKUP($A67,Barèmes!$A$65:$A$148,Barèmes!$G$65:$G$148))*(1-(INT($B$8)+1-$B$8)),0)))</f>
        <v>13009.47170682533</v>
      </c>
      <c r="F67" s="121">
        <f ca="1">IF($A67&lt;$B$5+$B$4,-(LOOKUP($A67,Cot_droits!$A$17:$A$68,Cot_droits!$H$17:$H$68)+LOOKUP($A67,Cot_droits!$A$17:$A$68,Cot_droits!$L$17:$L$68))/LOOKUP($A67,Barèmes!$A$65:$A$148,Barèmes!$G$65:$G$148),IF(AND($A67&gt;=$B$5+$B$4,$A67&lt;=INT($B$8)-1+$B$4),LOOKUP($A67,Retraite!$A$7:$A$47,Retraite!$P$7:P$47)/LOOKUP($A67,Barèmes!$A$65:$A$148,Barèmes!$G$65:$G$148),IF($A67=INT($B$8+$B$4),(LOOKUP($A67,Retraite!$A$7:$A$47,Retraite!$P$7:$P$47)/LOOKUP($A67,Barèmes!$A$65:$A$148,Barèmes!$G$65:$G$148))*(1-(INT($B$8)+1-$B$8)),0)))</f>
        <v>11825.609781504227</v>
      </c>
      <c r="H67" s="131">
        <f ca="1">IF($A67&lt;$B$5+$B$4,-(LOOKUP($A67,Cot_droits!$A$17:$A$68,Cot_droits!$I$17:$I$68)+LOOKUP($A67,Cot_droits!$A$17:$A$68,Cot_droits!$J$17:$J$68)+LOOKUP($A67,Cot_droits!$A$17:$A$68,Cot_droits!$N$17:$N$68))/LOOKUP($A67,Barèmes!$A$65:$A$148,Barèmes!$G$65:$G$148),IF(AND($A67&gt;=$B$5+$B$4,$A67&lt;=INT($B$8)-1+$B$4),LOOKUP($A67,Retraite!$A$7:$A$47,Retraite!$M$7:$M$47)/LOOKUP($A67,Barèmes!$A$65:$A$148,Barèmes!$G$65:$G$148),IF($A67=INT($B$8+$B$4),(LOOKUP($A67,Retraite!$A$7:$A$47,Retraite!$M$7:$M$47)/LOOKUP($A67,Barèmes!$A$65:$A$148,Barèmes!$G$65:$G$148))*(1-(INT($B$8)+1-$B$8)),0)))</f>
        <v>3875.6022261142757</v>
      </c>
      <c r="I67" s="121">
        <f ca="1">IF($A67&lt;$B$5+$B$4,-(LOOKUP($A67,Cot_droits!$A$17:$A$68,Cot_droits!$I$17:$I$68)+LOOKUP($A67,Cot_droits!$A$17:$A$68,Cot_droits!$J$17:$J$68)+LOOKUP($A67,Cot_droits!$A$17:$A$68,Cot_droits!$N$17:$N$68))/LOOKUP($A67,Barèmes!$A$65:$A$148,Barèmes!$G$65:$G$148),IF(AND($A67&gt;=$B$5+$B$4,$A67&lt;=INT($B$8)-1+$B$4),LOOKUP($A67,Retraite!$A$7:$A$47,Retraite!$Q$7:Q$47)/LOOKUP($A67,Barèmes!$A$65:$A$148,Barèmes!$G$65:$G$148),IF($A67=INT($B$8+$B$4),(LOOKUP($A67,Retraite!$A$7:$A$47,Retraite!$Q$7:$Q$47)/LOOKUP($A67,Barèmes!$A$65:$A$148,Barèmes!$G$65:$G$148))*(1-(INT($B$8)+1-$B$8)),0)))</f>
        <v>3484.1664012767337</v>
      </c>
      <c r="J67" s="115"/>
    </row>
    <row r="68" spans="1:10" s="43" customFormat="1" ht="15.75" customHeight="1" x14ac:dyDescent="0.25">
      <c r="A68" s="125">
        <f t="shared" si="0"/>
        <v>2073</v>
      </c>
      <c r="B68" s="131">
        <f ca="1">IF($A68&lt;$B$5+$B$4,-LOOKUP($A68,Cot_droits!$A$17:$A$68,Cot_droits!$Q$17:$Q$68)/LOOKUP($A68,Barèmes!$A$65:$A$148,Barèmes!$G$65:$G$148),IF(AND($A68&gt;=$B$5+$B$4,$A68&lt;=INT($B$8)+$B$4-1),LOOKUP($A68,Retraite!$A$7:$A$47,Retraite!$K$7:$K$47)/LOOKUP($A68,Barèmes!$A$65:$A$148,Barèmes!$G$65:$G$148),IF($A68=INT($B$8+$B$4),(LOOKUP($A68,Retraite!$A$7:$A$47,Retraite!$K$7:$K$47)/LOOKUP($A68,Barèmes!$A$65:$A$148,Barèmes!$G$65:$G$148))*(1-(INT($B$8+1)-$B$8)),0)))</f>
        <v>16674.504434381593</v>
      </c>
      <c r="C68" s="121">
        <f ca="1">IF($A68&lt;$B$5+$B$4,-LOOKUP($A68,Cot_droits!$A$17:$A$68,Cot_droits!$Q$17:$Q$68)/LOOKUP($A68,Barèmes!$A$65:$A$148,Barèmes!$G$65:$G$148),IF(AND($A68&gt;=$B$5+$B$4,$A68&lt;=INT($B$8)-1+$B$4),LOOKUP($A68,Retraite!$A$7:$A$47,Retraite!N$7:$N$47)/LOOKUP($A68,Barèmes!$A$65:$A$148,Barèmes!$G$65:$G$148),IF($A68=INT($B$8+$B$4),(LOOKUP($A68,Retraite!$A$7:$A$47,Retraite!$N$7:$N$47)/LOOKUP($A68,Barèmes!$A$65:$A$148,Barèmes!$G$65:$G$148))*(1-(INT($B$8)+1-$B$8)),0)))</f>
        <v>15118.804676112462</v>
      </c>
      <c r="D68" s="115"/>
      <c r="E68" s="131">
        <f>IF($A68&lt;$B$5+$B$4,-(LOOKUP($A68,Cot_droits!$A$17:$A$68,Cot_droits!$H$17:$H$68)+LOOKUP($A68,Cot_droits!$A$17:$A$68,Cot_droits!$L$17:$L$68))/LOOKUP($A68,Barèmes!$A$65:$A$148,Barèmes!$G$65:$G$148),IF(AND($A68&gt;=$B$5+$B$4,$A68&lt;=INT($B$8)-1+$B$4),LOOKUP($A68,Retraite!$A$7:$A$47,Retraite!$L$7:$L$47)/LOOKUP($A68,Barèmes!$A$65:$A$148,Barèmes!$G$65:$G$148),IF($A68=INT($B$8+$B$4),(LOOKUP($A68,Retraite!$A$7:$A$47,Retraite!$L$7:$L$47)/LOOKUP($A68,Barèmes!$A$65:$A$148,Barèmes!$G$65:$G$148))*(1-(INT($B$8)+1-$B$8)),0)))</f>
        <v>12842.518960340902</v>
      </c>
      <c r="F68" s="121">
        <f ca="1">IF($A68&lt;$B$5+$B$4,-(LOOKUP($A68,Cot_droits!$A$17:$A$68,Cot_droits!$H$17:$H$68)+LOOKUP($A68,Cot_droits!$A$17:$A$68,Cot_droits!$L$17:$L$68))/LOOKUP($A68,Barèmes!$A$65:$A$148,Barèmes!$G$65:$G$148),IF(AND($A68&gt;=$B$5+$B$4,$A68&lt;=INT($B$8)-1+$B$4),LOOKUP($A68,Retraite!$A$7:$A$47,Retraite!$P$7:P$47)/LOOKUP($A68,Barèmes!$A$65:$A$148,Barèmes!$G$65:$G$148),IF($A68=INT($B$8+$B$4),(LOOKUP($A68,Retraite!$A$7:$A$47,Retraite!$P$7:$P$47)/LOOKUP($A68,Barèmes!$A$65:$A$148,Barèmes!$G$65:$G$148))*(1-(INT($B$8)+1-$B$8)),0)))</f>
        <v>11673.849734949881</v>
      </c>
      <c r="H68" s="131">
        <f ca="1">IF($A68&lt;$B$5+$B$4,-(LOOKUP($A68,Cot_droits!$A$17:$A$68,Cot_droits!$I$17:$I$68)+LOOKUP($A68,Cot_droits!$A$17:$A$68,Cot_droits!$J$17:$J$68)+LOOKUP($A68,Cot_droits!$A$17:$A$68,Cot_droits!$N$17:$N$68))/LOOKUP($A68,Barèmes!$A$65:$A$148,Barèmes!$G$65:$G$148),IF(AND($A68&gt;=$B$5+$B$4,$A68&lt;=INT($B$8)-1+$B$4),LOOKUP($A68,Retraite!$A$7:$A$47,Retraite!$M$7:$M$47)/LOOKUP($A68,Barèmes!$A$65:$A$148,Barèmes!$G$65:$G$148),IF($A68=INT($B$8+$B$4),(LOOKUP($A68,Retraite!$A$7:$A$47,Retraite!$M$7:$M$47)/LOOKUP($A68,Barèmes!$A$65:$A$148,Barèmes!$G$65:$G$148))*(1-(INT($B$8)+1-$B$8)),0)))</f>
        <v>3831.9854740406913</v>
      </c>
      <c r="I68" s="121">
        <f ca="1">IF($A68&lt;$B$5+$B$4,-(LOOKUP($A68,Cot_droits!$A$17:$A$68,Cot_droits!$I$17:$I$68)+LOOKUP($A68,Cot_droits!$A$17:$A$68,Cot_droits!$J$17:$J$68)+LOOKUP($A68,Cot_droits!$A$17:$A$68,Cot_droits!$N$17:$N$68))/LOOKUP($A68,Barèmes!$A$65:$A$148,Barèmes!$G$65:$G$148),IF(AND($A68&gt;=$B$5+$B$4,$A68&lt;=INT($B$8)-1+$B$4),LOOKUP($A68,Retraite!$A$7:$A$47,Retraite!$Q$7:Q$47)/LOOKUP($A68,Barèmes!$A$65:$A$148,Barèmes!$G$65:$G$148),IF($A68=INT($B$8+$B$4),(LOOKUP($A68,Retraite!$A$7:$A$47,Retraite!$Q$7:$Q$47)/LOOKUP($A68,Barèmes!$A$65:$A$148,Barèmes!$G$65:$G$148))*(1-(INT($B$8)+1-$B$8)),0)))</f>
        <v>3444.9549411625817</v>
      </c>
      <c r="J68" s="115"/>
    </row>
    <row r="69" spans="1:10" s="43" customFormat="1" ht="15.75" customHeight="1" x14ac:dyDescent="0.25">
      <c r="A69" s="125">
        <f t="shared" si="0"/>
        <v>2074</v>
      </c>
      <c r="B69" s="131">
        <f ca="1">IF($A69&lt;$B$5+$B$4,-LOOKUP($A69,Cot_droits!$A$17:$A$68,Cot_droits!$Q$17:$Q$68)/LOOKUP($A69,Barèmes!$A$65:$A$148,Barèmes!$G$65:$G$148),IF(AND($A69&gt;=$B$5+$B$4,$A69&lt;=INT($B$8)+$B$4-1),LOOKUP($A69,Retraite!$A$7:$A$47,Retraite!$K$7:$K$47)/LOOKUP($A69,Barèmes!$A$65:$A$148,Barèmes!$G$65:$G$148),IF($A69=INT($B$8+$B$4),(LOOKUP($A69,Retraite!$A$7:$A$47,Retraite!$K$7:$K$47)/LOOKUP($A69,Barèmes!$A$65:$A$148,Barèmes!$G$65:$G$148))*(1-(INT($B$8+1)-$B$8)),0)))</f>
        <v>16466.568339684614</v>
      </c>
      <c r="C69" s="121">
        <f ca="1">IF($A69&lt;$B$5+$B$4,-LOOKUP($A69,Cot_droits!$A$17:$A$68,Cot_droits!$Q$17:$Q$68)/LOOKUP($A69,Barèmes!$A$65:$A$148,Barèmes!$G$65:$G$148),IF(AND($A69&gt;=$B$5+$B$4,$A69&lt;=INT($B$8)-1+$B$4),LOOKUP($A69,Retraite!$A$7:$A$47,Retraite!N$7:$N$47)/LOOKUP($A69,Barèmes!$A$65:$A$148,Barèmes!$G$65:$G$148),IF($A69=INT($B$8+$B$4),(LOOKUP($A69,Retraite!$A$7:$A$47,Retraite!$N$7:$N$47)/LOOKUP($A69,Barèmes!$A$65:$A$148,Barèmes!$G$65:$G$148))*(1-(INT($B$8)+1-$B$8)),0)))</f>
        <v>14930.222024842815</v>
      </c>
      <c r="D69" s="115"/>
      <c r="E69" s="131">
        <f>IF($A69&lt;$B$5+$B$4,-(LOOKUP($A69,Cot_droits!$A$17:$A$68,Cot_droits!$H$17:$H$68)+LOOKUP($A69,Cot_droits!$A$17:$A$68,Cot_droits!$L$17:$L$68))/LOOKUP($A69,Barèmes!$A$65:$A$148,Barèmes!$G$65:$G$148),IF(AND($A69&gt;=$B$5+$B$4,$A69&lt;=INT($B$8)-1+$B$4),LOOKUP($A69,Retraite!$A$7:$A$47,Retraite!$L$7:$L$47)/LOOKUP($A69,Barèmes!$A$65:$A$148,Barèmes!$G$65:$G$148),IF($A69=INT($B$8+$B$4),(LOOKUP($A69,Retraite!$A$7:$A$47,Retraite!$L$7:$L$47)/LOOKUP($A69,Barèmes!$A$65:$A$148,Barèmes!$G$65:$G$148))*(1-(INT($B$8)+1-$B$8)),0)))</f>
        <v>12677.708746634653</v>
      </c>
      <c r="F69" s="121">
        <f ca="1">IF($A69&lt;$B$5+$B$4,-(LOOKUP($A69,Cot_droits!$A$17:$A$68,Cot_droits!$H$17:$H$68)+LOOKUP($A69,Cot_droits!$A$17:$A$68,Cot_droits!$L$17:$L$68))/LOOKUP($A69,Barèmes!$A$65:$A$148,Barèmes!$G$65:$G$148),IF(AND($A69&gt;=$B$5+$B$4,$A69&lt;=INT($B$8)-1+$B$4),LOOKUP($A69,Retraite!$A$7:$A$47,Retraite!$P$7:P$47)/LOOKUP($A69,Barèmes!$A$65:$A$148,Barèmes!$G$65:$G$148),IF($A69=INT($B$8+$B$4),(LOOKUP($A69,Retraite!$A$7:$A$47,Retraite!$P$7:$P$47)/LOOKUP($A69,Barèmes!$A$65:$A$148,Barèmes!$G$65:$G$148))*(1-(INT($B$8)+1-$B$8)),0)))</f>
        <v>11524.037250690899</v>
      </c>
      <c r="H69" s="131">
        <f ca="1">IF($A69&lt;$B$5+$B$4,-(LOOKUP($A69,Cot_droits!$A$17:$A$68,Cot_droits!$I$17:$I$68)+LOOKUP($A69,Cot_droits!$A$17:$A$68,Cot_droits!$J$17:$J$68)+LOOKUP($A69,Cot_droits!$A$17:$A$68,Cot_droits!$N$17:$N$68))/LOOKUP($A69,Barèmes!$A$65:$A$148,Barèmes!$G$65:$G$148),IF(AND($A69&gt;=$B$5+$B$4,$A69&lt;=INT($B$8)-1+$B$4),LOOKUP($A69,Retraite!$A$7:$A$47,Retraite!$M$7:$M$47)/LOOKUP($A69,Barèmes!$A$65:$A$148,Barèmes!$G$65:$G$148),IF($A69=INT($B$8+$B$4),(LOOKUP($A69,Retraite!$A$7:$A$47,Retraite!$M$7:$M$47)/LOOKUP($A69,Barèmes!$A$65:$A$148,Barèmes!$G$65:$G$148))*(1-(INT($B$8)+1-$B$8)),0)))</f>
        <v>3788.8595930499614</v>
      </c>
      <c r="I69" s="121">
        <f ca="1">IF($A69&lt;$B$5+$B$4,-(LOOKUP($A69,Cot_droits!$A$17:$A$68,Cot_droits!$I$17:$I$68)+LOOKUP($A69,Cot_droits!$A$17:$A$68,Cot_droits!$J$17:$J$68)+LOOKUP($A69,Cot_droits!$A$17:$A$68,Cot_droits!$N$17:$N$68))/LOOKUP($A69,Barèmes!$A$65:$A$148,Barèmes!$G$65:$G$148),IF(AND($A69&gt;=$B$5+$B$4,$A69&lt;=INT($B$8)-1+$B$4),LOOKUP($A69,Retraite!$A$7:$A$47,Retraite!$Q$7:Q$47)/LOOKUP($A69,Barèmes!$A$65:$A$148,Barèmes!$G$65:$G$148),IF($A69=INT($B$8+$B$4),(LOOKUP($A69,Retraite!$A$7:$A$47,Retraite!$Q$7:$Q$47)/LOOKUP($A69,Barèmes!$A$65:$A$148,Barèmes!$G$65:$G$148))*(1-(INT($B$8)+1-$B$8)),0)))</f>
        <v>3406.1847741519159</v>
      </c>
      <c r="J69" s="115"/>
    </row>
    <row r="70" spans="1:10" s="43" customFormat="1" ht="15.75" customHeight="1" x14ac:dyDescent="0.25">
      <c r="A70" s="125">
        <f t="shared" si="0"/>
        <v>2075</v>
      </c>
      <c r="B70" s="131">
        <f ca="1">IF($A70&lt;$B$5+$B$4,-LOOKUP($A70,Cot_droits!$A$17:$A$68,Cot_droits!$Q$17:$Q$68)/LOOKUP($A70,Barèmes!$A$65:$A$148,Barèmes!$G$65:$G$148),IF(AND($A70&gt;=$B$5+$B$4,$A70&lt;=INT($B$8)+$B$4-1),LOOKUP($A70,Retraite!$A$7:$A$47,Retraite!$K$7:$K$47)/LOOKUP($A70,Barèmes!$A$65:$A$148,Barèmes!$G$65:$G$148),IF($A70=INT($B$8+$B$4),(LOOKUP($A70,Retraite!$A$7:$A$47,Retraite!$K$7:$K$47)/LOOKUP($A70,Barèmes!$A$65:$A$148,Barèmes!$G$65:$G$148))*(1-(INT($B$8+1)-$B$8)),0)))</f>
        <v>16261.232629008913</v>
      </c>
      <c r="C70" s="121">
        <f ca="1">IF($A70&lt;$B$5+$B$4,-LOOKUP($A70,Cot_droits!$A$17:$A$68,Cot_droits!$Q$17:$Q$68)/LOOKUP($A70,Barèmes!$A$65:$A$148,Barèmes!$G$65:$G$148),IF(AND($A70&gt;=$B$5+$B$4,$A70&lt;=INT($B$8)-1+$B$4),LOOKUP($A70,Retraite!$A$7:$A$47,Retraite!N$7:$N$47)/LOOKUP($A70,Barèmes!$A$65:$A$148,Barèmes!$G$65:$G$148),IF($A70=INT($B$8+$B$4),(LOOKUP($A70,Retraite!$A$7:$A$47,Retraite!$N$7:$N$47)/LOOKUP($A70,Barèmes!$A$65:$A$148,Barèmes!$G$65:$G$148))*(1-(INT($B$8)+1-$B$8)),0)))</f>
        <v>14743.998269181233</v>
      </c>
      <c r="D70" s="115"/>
      <c r="E70" s="131">
        <f>IF($A70&lt;$B$5+$B$4,-(LOOKUP($A70,Cot_droits!$A$17:$A$68,Cot_droits!$H$17:$H$68)+LOOKUP($A70,Cot_droits!$A$17:$A$68,Cot_droits!$L$17:$L$68))/LOOKUP($A70,Barèmes!$A$65:$A$148,Barèmes!$G$65:$G$148),IF(AND($A70&gt;=$B$5+$B$4,$A70&lt;=INT($B$8)-1+$B$4),LOOKUP($A70,Retraite!$A$7:$A$47,Retraite!$L$7:$L$47)/LOOKUP($A70,Barèmes!$A$65:$A$148,Barèmes!$G$65:$G$148),IF($A70=INT($B$8+$B$4),(LOOKUP($A70,Retraite!$A$7:$A$47,Retraite!$L$7:$L$47)/LOOKUP($A70,Barèmes!$A$65:$A$148,Barèmes!$G$65:$G$148))*(1-(INT($B$8)+1-$B$8)),0)))</f>
        <v>12515.013570221772</v>
      </c>
      <c r="F70" s="121">
        <f ca="1">IF($A70&lt;$B$5+$B$4,-(LOOKUP($A70,Cot_droits!$A$17:$A$68,Cot_droits!$H$17:$H$68)+LOOKUP($A70,Cot_droits!$A$17:$A$68,Cot_droits!$L$17:$L$68))/LOOKUP($A70,Barèmes!$A$65:$A$148,Barèmes!$G$65:$G$148),IF(AND($A70&gt;=$B$5+$B$4,$A70&lt;=INT($B$8)-1+$B$4),LOOKUP($A70,Retraite!$A$7:$A$47,Retraite!$P$7:P$47)/LOOKUP($A70,Barèmes!$A$65:$A$148,Barèmes!$G$65:$G$148),IF($A70=INT($B$8+$B$4),(LOOKUP($A70,Retraite!$A$7:$A$47,Retraite!$P$7:$P$47)/LOOKUP($A70,Barèmes!$A$65:$A$148,Barèmes!$G$65:$G$148))*(1-(INT($B$8)+1-$B$8)),0)))</f>
        <v>11376.147335331591</v>
      </c>
      <c r="H70" s="131">
        <f ca="1">IF($A70&lt;$B$5+$B$4,-(LOOKUP($A70,Cot_droits!$A$17:$A$68,Cot_droits!$I$17:$I$68)+LOOKUP($A70,Cot_droits!$A$17:$A$68,Cot_droits!$J$17:$J$68)+LOOKUP($A70,Cot_droits!$A$17:$A$68,Cot_droits!$N$17:$N$68))/LOOKUP($A70,Barèmes!$A$65:$A$148,Barèmes!$G$65:$G$148),IF(AND($A70&gt;=$B$5+$B$4,$A70&lt;=INT($B$8)-1+$B$4),LOOKUP($A70,Retraite!$A$7:$A$47,Retraite!$M$7:$M$47)/LOOKUP($A70,Barèmes!$A$65:$A$148,Barèmes!$G$65:$G$148),IF($A70=INT($B$8+$B$4),(LOOKUP($A70,Retraite!$A$7:$A$47,Retraite!$M$7:$M$47)/LOOKUP($A70,Barèmes!$A$65:$A$148,Barèmes!$G$65:$G$148))*(1-(INT($B$8)+1-$B$8)),0)))</f>
        <v>3746.2190587871428</v>
      </c>
      <c r="I70" s="121">
        <f ca="1">IF($A70&lt;$B$5+$B$4,-(LOOKUP($A70,Cot_droits!$A$17:$A$68,Cot_droits!$I$17:$I$68)+LOOKUP($A70,Cot_droits!$A$17:$A$68,Cot_droits!$J$17:$J$68)+LOOKUP($A70,Cot_droits!$A$17:$A$68,Cot_droits!$N$17:$N$68))/LOOKUP($A70,Barèmes!$A$65:$A$148,Barèmes!$G$65:$G$148),IF(AND($A70&gt;=$B$5+$B$4,$A70&lt;=INT($B$8)-1+$B$4),LOOKUP($A70,Retraite!$A$7:$A$47,Retraite!$Q$7:Q$47)/LOOKUP($A70,Barèmes!$A$65:$A$148,Barèmes!$G$65:$G$148),IF($A70=INT($B$8+$B$4),(LOOKUP($A70,Retraite!$A$7:$A$47,Retraite!$Q$7:$Q$47)/LOOKUP($A70,Barèmes!$A$65:$A$148,Barèmes!$G$65:$G$148))*(1-(INT($B$8)+1-$B$8)),0)))</f>
        <v>3367.8509338496415</v>
      </c>
      <c r="J70" s="115"/>
    </row>
    <row r="71" spans="1:10" s="43" customFormat="1" ht="15.75" customHeight="1" x14ac:dyDescent="0.25">
      <c r="A71" s="125">
        <f t="shared" si="0"/>
        <v>2076</v>
      </c>
      <c r="B71" s="131">
        <f ca="1">IF($A71&lt;$B$5+$B$4,-LOOKUP($A71,Cot_droits!$A$17:$A$68,Cot_droits!$Q$17:$Q$68)/LOOKUP($A71,Barèmes!$A$65:$A$148,Barèmes!$G$65:$G$148),IF(AND($A71&gt;=$B$5+$B$4,$A71&lt;=INT($B$8)+$B$4-1),LOOKUP($A71,Retraite!$A$7:$A$47,Retraite!$K$7:$K$47)/LOOKUP($A71,Barèmes!$A$65:$A$148,Barèmes!$G$65:$G$148),IF($A71=INT($B$8+$B$4),(LOOKUP($A71,Retraite!$A$7:$A$47,Retraite!$K$7:$K$47)/LOOKUP($A71,Barèmes!$A$65:$A$148,Barèmes!$G$65:$G$148))*(1-(INT($B$8+1)-$B$8)),0)))</f>
        <v>16058.464697541054</v>
      </c>
      <c r="C71" s="121">
        <f ca="1">IF($A71&lt;$B$5+$B$4,-LOOKUP($A71,Cot_droits!$A$17:$A$68,Cot_droits!$Q$17:$Q$68)/LOOKUP($A71,Barèmes!$A$65:$A$148,Barèmes!$G$65:$G$148),IF(AND($A71&gt;=$B$5+$B$4,$A71&lt;=INT($B$8)-1+$B$4),LOOKUP($A71,Retraite!$A$7:$A$47,Retraite!N$7:$N$47)/LOOKUP($A71,Barèmes!$A$65:$A$148,Barèmes!$G$65:$G$148),IF($A71=INT($B$8+$B$4),(LOOKUP($A71,Retraite!$A$7:$A$47,Retraite!$N$7:$N$47)/LOOKUP($A71,Barèmes!$A$65:$A$148,Barèmes!$G$65:$G$148))*(1-(INT($B$8)+1-$B$8)),0)))</f>
        <v>14560.103825974125</v>
      </c>
      <c r="D71" s="115"/>
      <c r="E71" s="131">
        <f>IF($A71&lt;$B$5+$B$4,-(LOOKUP($A71,Cot_droits!$A$17:$A$68,Cot_droits!$H$17:$H$68)+LOOKUP($A71,Cot_droits!$A$17:$A$68,Cot_droits!$L$17:$L$68))/LOOKUP($A71,Barèmes!$A$65:$A$148,Barèmes!$G$65:$G$148),IF(AND($A71&gt;=$B$5+$B$4,$A71&lt;=INT($B$8)-1+$B$4),LOOKUP($A71,Retraite!$A$7:$A$47,Retraite!$L$7:$L$47)/LOOKUP($A71,Barèmes!$A$65:$A$148,Barèmes!$G$65:$G$148),IF($A71=INT($B$8+$B$4),(LOOKUP($A71,Retraite!$A$7:$A$47,Retraite!$L$7:$L$47)/LOOKUP($A71,Barèmes!$A$65:$A$148,Barèmes!$G$65:$G$148))*(1-(INT($B$8)+1-$B$8)),0)))</f>
        <v>12354.406288471642</v>
      </c>
      <c r="F71" s="121">
        <f ca="1">IF($A71&lt;$B$5+$B$4,-(LOOKUP($A71,Cot_droits!$A$17:$A$68,Cot_droits!$H$17:$H$68)+LOOKUP($A71,Cot_droits!$A$17:$A$68,Cot_droits!$L$17:$L$68))/LOOKUP($A71,Barèmes!$A$65:$A$148,Barèmes!$G$65:$G$148),IF(AND($A71&gt;=$B$5+$B$4,$A71&lt;=INT($B$8)-1+$B$4),LOOKUP($A71,Retraite!$A$7:$A$47,Retraite!$P$7:P$47)/LOOKUP($A71,Barèmes!$A$65:$A$148,Barèmes!$G$65:$G$148),IF($A71=INT($B$8+$B$4),(LOOKUP($A71,Retraite!$A$7:$A$47,Retraite!$P$7:$P$47)/LOOKUP($A71,Barèmes!$A$65:$A$148,Barèmes!$G$65:$G$148))*(1-(INT($B$8)+1-$B$8)),0)))</f>
        <v>11230.155316220724</v>
      </c>
      <c r="H71" s="131">
        <f ca="1">IF($A71&lt;$B$5+$B$4,-(LOOKUP($A71,Cot_droits!$A$17:$A$68,Cot_droits!$I$17:$I$68)+LOOKUP($A71,Cot_droits!$A$17:$A$68,Cot_droits!$J$17:$J$68)+LOOKUP($A71,Cot_droits!$A$17:$A$68,Cot_droits!$N$17:$N$68))/LOOKUP($A71,Barèmes!$A$65:$A$148,Barèmes!$G$65:$G$148),IF(AND($A71&gt;=$B$5+$B$4,$A71&lt;=INT($B$8)-1+$B$4),LOOKUP($A71,Retraite!$A$7:$A$47,Retraite!$M$7:$M$47)/LOOKUP($A71,Barèmes!$A$65:$A$148,Barèmes!$G$65:$G$148),IF($A71=INT($B$8+$B$4),(LOOKUP($A71,Retraite!$A$7:$A$47,Retraite!$M$7:$M$47)/LOOKUP($A71,Barèmes!$A$65:$A$148,Barèmes!$G$65:$G$148))*(1-(INT($B$8)+1-$B$8)),0)))</f>
        <v>3704.0584090694133</v>
      </c>
      <c r="I71" s="121">
        <f ca="1">IF($A71&lt;$B$5+$B$4,-(LOOKUP($A71,Cot_droits!$A$17:$A$68,Cot_droits!$I$17:$I$68)+LOOKUP($A71,Cot_droits!$A$17:$A$68,Cot_droits!$J$17:$J$68)+LOOKUP($A71,Cot_droits!$A$17:$A$68,Cot_droits!$N$17:$N$68))/LOOKUP($A71,Barèmes!$A$65:$A$148,Barèmes!$G$65:$G$148),IF(AND($A71&gt;=$B$5+$B$4,$A71&lt;=INT($B$8)-1+$B$4),LOOKUP($A71,Retraite!$A$7:$A$47,Retraite!$Q$7:Q$47)/LOOKUP($A71,Barèmes!$A$65:$A$148,Barèmes!$G$65:$G$148),IF($A71=INT($B$8+$B$4),(LOOKUP($A71,Retraite!$A$7:$A$47,Retraite!$Q$7:$Q$47)/LOOKUP($A71,Barèmes!$A$65:$A$148,Barèmes!$G$65:$G$148))*(1-(INT($B$8)+1-$B$8)),0)))</f>
        <v>3329.9485097534025</v>
      </c>
      <c r="J71" s="115"/>
    </row>
    <row r="72" spans="1:10" s="43" customFormat="1" ht="15.75" customHeight="1" x14ac:dyDescent="0.25">
      <c r="A72" s="125">
        <f t="shared" si="0"/>
        <v>2077</v>
      </c>
      <c r="B72" s="131">
        <f ca="1">IF($A72&lt;$B$5+$B$4,-LOOKUP($A72,Cot_droits!$A$17:$A$68,Cot_droits!$Q$17:$Q$68)/LOOKUP($A72,Barèmes!$A$65:$A$148,Barèmes!$G$65:$G$148),IF(AND($A72&gt;=$B$5+$B$4,$A72&lt;=INT($B$8)+$B$4-1),LOOKUP($A72,Retraite!$A$7:$A$47,Retraite!$K$7:$K$47)/LOOKUP($A72,Barèmes!$A$65:$A$148,Barèmes!$G$65:$G$148),IF($A72=INT($B$8+$B$4),(LOOKUP($A72,Retraite!$A$7:$A$47,Retraite!$K$7:$K$47)/LOOKUP($A72,Barèmes!$A$65:$A$148,Barèmes!$G$65:$G$148))*(1-(INT($B$8+1)-$B$8)),0)))</f>
        <v>15858.232350265986</v>
      </c>
      <c r="C72" s="121">
        <f ca="1">IF($A72&lt;$B$5+$B$4,-LOOKUP($A72,Cot_droits!$A$17:$A$68,Cot_droits!$Q$17:$Q$68)/LOOKUP($A72,Barèmes!$A$65:$A$148,Barèmes!$G$65:$G$148),IF(AND($A72&gt;=$B$5+$B$4,$A72&lt;=INT($B$8)-1+$B$4),LOOKUP($A72,Retraite!$A$7:$A$47,Retraite!N$7:$N$47)/LOOKUP($A72,Barèmes!$A$65:$A$148,Barèmes!$G$65:$G$148),IF($A72=INT($B$8+$B$4),(LOOKUP($A72,Retraite!$A$7:$A$47,Retraite!$N$7:$N$47)/LOOKUP($A72,Barèmes!$A$65:$A$148,Barèmes!$G$65:$G$148))*(1-(INT($B$8)+1-$B$8)),0)))</f>
        <v>14378.509483959919</v>
      </c>
      <c r="D72" s="115"/>
      <c r="E72" s="131">
        <f>IF($A72&lt;$B$5+$B$4,-(LOOKUP($A72,Cot_droits!$A$17:$A$68,Cot_droits!$H$17:$H$68)+LOOKUP($A72,Cot_droits!$A$17:$A$68,Cot_droits!$L$17:$L$68))/LOOKUP($A72,Barèmes!$A$65:$A$148,Barèmes!$G$65:$G$148),IF(AND($A72&gt;=$B$5+$B$4,$A72&lt;=INT($B$8)-1+$B$4),LOOKUP($A72,Retraite!$A$7:$A$47,Retraite!$L$7:$L$47)/LOOKUP($A72,Barèmes!$A$65:$A$148,Barèmes!$G$65:$G$148),IF($A72=INT($B$8+$B$4),(LOOKUP($A72,Retraite!$A$7:$A$47,Retraite!$L$7:$L$47)/LOOKUP($A72,Barèmes!$A$65:$A$148,Barèmes!$G$65:$G$148))*(1-(INT($B$8)+1-$B$8)),0)))</f>
        <v>12195.860107079607</v>
      </c>
      <c r="F72" s="121">
        <f ca="1">IF($A72&lt;$B$5+$B$4,-(LOOKUP($A72,Cot_droits!$A$17:$A$68,Cot_droits!$H$17:$H$68)+LOOKUP($A72,Cot_droits!$A$17:$A$68,Cot_droits!$L$17:$L$68))/LOOKUP($A72,Barèmes!$A$65:$A$148,Barèmes!$G$65:$G$148),IF(AND($A72&gt;=$B$5+$B$4,$A72&lt;=INT($B$8)-1+$B$4),LOOKUP($A72,Retraite!$A$7:$A$47,Retraite!$P$7:P$47)/LOOKUP($A72,Barèmes!$A$65:$A$148,Barèmes!$G$65:$G$148),IF($A72=INT($B$8+$B$4),(LOOKUP($A72,Retraite!$A$7:$A$47,Retraite!$P$7:$P$47)/LOOKUP($A72,Barèmes!$A$65:$A$148,Barèmes!$G$65:$G$148))*(1-(INT($B$8)+1-$B$8)),0)))</f>
        <v>11086.036837335363</v>
      </c>
      <c r="H72" s="131">
        <f ca="1">IF($A72&lt;$B$5+$B$4,-(LOOKUP($A72,Cot_droits!$A$17:$A$68,Cot_droits!$I$17:$I$68)+LOOKUP($A72,Cot_droits!$A$17:$A$68,Cot_droits!$J$17:$J$68)+LOOKUP($A72,Cot_droits!$A$17:$A$68,Cot_droits!$N$17:$N$68))/LOOKUP($A72,Barèmes!$A$65:$A$148,Barèmes!$G$65:$G$148),IF(AND($A72&gt;=$B$5+$B$4,$A72&lt;=INT($B$8)-1+$B$4),LOOKUP($A72,Retraite!$A$7:$A$47,Retraite!$M$7:$M$47)/LOOKUP($A72,Barèmes!$A$65:$A$148,Barèmes!$G$65:$G$148),IF($A72=INT($B$8+$B$4),(LOOKUP($A72,Retraite!$A$7:$A$47,Retraite!$M$7:$M$47)/LOOKUP($A72,Barèmes!$A$65:$A$148,Barèmes!$G$65:$G$148))*(1-(INT($B$8)+1-$B$8)),0)))</f>
        <v>3662.3722431863785</v>
      </c>
      <c r="I72" s="121">
        <f ca="1">IF($A72&lt;$B$5+$B$4,-(LOOKUP($A72,Cot_droits!$A$17:$A$68,Cot_droits!$I$17:$I$68)+LOOKUP($A72,Cot_droits!$A$17:$A$68,Cot_droits!$J$17:$J$68)+LOOKUP($A72,Cot_droits!$A$17:$A$68,Cot_droits!$N$17:$N$68))/LOOKUP($A72,Barèmes!$A$65:$A$148,Barèmes!$G$65:$G$148),IF(AND($A72&gt;=$B$5+$B$4,$A72&lt;=INT($B$8)-1+$B$4),LOOKUP($A72,Retraite!$A$7:$A$47,Retraite!$Q$7:Q$47)/LOOKUP($A72,Barèmes!$A$65:$A$148,Barèmes!$G$65:$G$148),IF($A72=INT($B$8+$B$4),(LOOKUP($A72,Retraite!$A$7:$A$47,Retraite!$Q$7:$Q$47)/LOOKUP($A72,Barèmes!$A$65:$A$148,Barèmes!$G$65:$G$148))*(1-(INT($B$8)+1-$B$8)),0)))</f>
        <v>3292.4726466245547</v>
      </c>
      <c r="J72" s="115"/>
    </row>
    <row r="73" spans="1:10" s="43" customFormat="1" ht="15.75" customHeight="1" x14ac:dyDescent="0.25">
      <c r="A73" s="125">
        <f t="shared" si="0"/>
        <v>2078</v>
      </c>
      <c r="B73" s="131">
        <f ca="1">IF($A73&lt;$B$5+$B$4,-LOOKUP($A73,Cot_droits!$A$17:$A$68,Cot_droits!$Q$17:$Q$68)/LOOKUP($A73,Barèmes!$A$65:$A$148,Barèmes!$G$65:$G$148),IF(AND($A73&gt;=$B$5+$B$4,$A73&lt;=INT($B$8)+$B$4-1),LOOKUP($A73,Retraite!$A$7:$A$47,Retraite!$K$7:$K$47)/LOOKUP($A73,Barèmes!$A$65:$A$148,Barèmes!$G$65:$G$148),IF($A73=INT($B$8+$B$4),(LOOKUP($A73,Retraite!$A$7:$A$47,Retraite!$K$7:$K$47)/LOOKUP($A73,Barèmes!$A$65:$A$148,Barèmes!$G$65:$G$148))*(1-(INT($B$8+1)-$B$8)),0)))</f>
        <v>15660.503796805096</v>
      </c>
      <c r="C73" s="121">
        <f ca="1">IF($A73&lt;$B$5+$B$4,-LOOKUP($A73,Cot_droits!$A$17:$A$68,Cot_droits!$Q$17:$Q$68)/LOOKUP($A73,Barèmes!$A$65:$A$148,Barèmes!$G$65:$G$148),IF(AND($A73&gt;=$B$5+$B$4,$A73&lt;=INT($B$8)-1+$B$4),LOOKUP($A73,Retraite!$A$7:$A$47,Retraite!N$7:$N$47)/LOOKUP($A73,Barèmes!$A$65:$A$148,Barèmes!$G$65:$G$148),IF($A73=INT($B$8+$B$4),(LOOKUP($A73,Retraite!$A$7:$A$47,Retraite!$N$7:$N$47)/LOOKUP($A73,Barèmes!$A$65:$A$148,Barèmes!$G$65:$G$148))*(1-(INT($B$8)+1-$B$8)),0)))</f>
        <v>14199.18639908375</v>
      </c>
      <c r="D73" s="115"/>
      <c r="E73" s="131">
        <f>IF($A73&lt;$B$5+$B$4,-(LOOKUP($A73,Cot_droits!$A$17:$A$68,Cot_droits!$H$17:$H$68)+LOOKUP($A73,Cot_droits!$A$17:$A$68,Cot_droits!$L$17:$L$68))/LOOKUP($A73,Barèmes!$A$65:$A$148,Barèmes!$G$65:$G$148),IF(AND($A73&gt;=$B$5+$B$4,$A73&lt;=INT($B$8)-1+$B$4),LOOKUP($A73,Retraite!$A$7:$A$47,Retraite!$L$7:$L$47)/LOOKUP($A73,Barèmes!$A$65:$A$148,Barèmes!$G$65:$G$148),IF($A73=INT($B$8+$B$4),(LOOKUP($A73,Retraite!$A$7:$A$47,Retraite!$L$7:$L$47)/LOOKUP($A73,Barèmes!$A$65:$A$148,Barèmes!$G$65:$G$148))*(1-(INT($B$8)+1-$B$8)),0)))</f>
        <v>12039.348575596847</v>
      </c>
      <c r="F73" s="121">
        <f ca="1">IF($A73&lt;$B$5+$B$4,-(LOOKUP($A73,Cot_droits!$A$17:$A$68,Cot_droits!$H$17:$H$68)+LOOKUP($A73,Cot_droits!$A$17:$A$68,Cot_droits!$L$17:$L$68))/LOOKUP($A73,Barèmes!$A$65:$A$148,Barèmes!$G$65:$G$148),IF(AND($A73&gt;=$B$5+$B$4,$A73&lt;=INT($B$8)-1+$B$4),LOOKUP($A73,Retraite!$A$7:$A$47,Retraite!$P$7:P$47)/LOOKUP($A73,Barèmes!$A$65:$A$148,Barèmes!$G$65:$G$148),IF($A73=INT($B$8+$B$4),(LOOKUP($A73,Retraite!$A$7:$A$47,Retraite!$P$7:$P$47)/LOOKUP($A73,Barèmes!$A$65:$A$148,Barèmes!$G$65:$G$148))*(1-(INT($B$8)+1-$B$8)),0)))</f>
        <v>10943.767855217533</v>
      </c>
      <c r="H73" s="131">
        <f ca="1">IF($A73&lt;$B$5+$B$4,-(LOOKUP($A73,Cot_droits!$A$17:$A$68,Cot_droits!$I$17:$I$68)+LOOKUP($A73,Cot_droits!$A$17:$A$68,Cot_droits!$J$17:$J$68)+LOOKUP($A73,Cot_droits!$A$17:$A$68,Cot_droits!$N$17:$N$68))/LOOKUP($A73,Barèmes!$A$65:$A$148,Barèmes!$G$65:$G$148),IF(AND($A73&gt;=$B$5+$B$4,$A73&lt;=INT($B$8)-1+$B$4),LOOKUP($A73,Retraite!$A$7:$A$47,Retraite!$M$7:$M$47)/LOOKUP($A73,Barèmes!$A$65:$A$148,Barèmes!$G$65:$G$148),IF($A73=INT($B$8+$B$4),(LOOKUP($A73,Retraite!$A$7:$A$47,Retraite!$M$7:$M$47)/LOOKUP($A73,Barèmes!$A$65:$A$148,Barèmes!$G$65:$G$148))*(1-(INT($B$8)+1-$B$8)),0)))</f>
        <v>3621.1552212082493</v>
      </c>
      <c r="I73" s="121">
        <f ca="1">IF($A73&lt;$B$5+$B$4,-(LOOKUP($A73,Cot_droits!$A$17:$A$68,Cot_droits!$I$17:$I$68)+LOOKUP($A73,Cot_droits!$A$17:$A$68,Cot_droits!$J$17:$J$68)+LOOKUP($A73,Cot_droits!$A$17:$A$68,Cot_droits!$N$17:$N$68))/LOOKUP($A73,Barèmes!$A$65:$A$148,Barèmes!$G$65:$G$148),IF(AND($A73&gt;=$B$5+$B$4,$A73&lt;=INT($B$8)-1+$B$4),LOOKUP($A73,Retraite!$A$7:$A$47,Retraite!$Q$7:Q$47)/LOOKUP($A73,Barèmes!$A$65:$A$148,Barèmes!$G$65:$G$148),IF($A73=INT($B$8+$B$4),(LOOKUP($A73,Retraite!$A$7:$A$47,Retraite!$Q$7:$Q$47)/LOOKUP($A73,Barèmes!$A$65:$A$148,Barèmes!$G$65:$G$148))*(1-(INT($B$8)+1-$B$8)),0)))</f>
        <v>3255.4185438662157</v>
      </c>
      <c r="J73" s="115"/>
    </row>
    <row r="74" spans="1:10" s="43" customFormat="1" ht="15.75" customHeight="1" x14ac:dyDescent="0.25">
      <c r="A74" s="125">
        <f t="shared" si="0"/>
        <v>2079</v>
      </c>
      <c r="B74" s="131">
        <f ca="1">IF($A74&lt;$B$5+$B$4,-LOOKUP($A74,Cot_droits!$A$17:$A$68,Cot_droits!$Q$17:$Q$68)/LOOKUP($A74,Barèmes!$A$65:$A$148,Barèmes!$G$65:$G$148),IF(AND($A74&gt;=$B$5+$B$4,$A74&lt;=INT($B$8)+$B$4-1),LOOKUP($A74,Retraite!$A$7:$A$47,Retraite!$K$7:$K$47)/LOOKUP($A74,Barèmes!$A$65:$A$148,Barèmes!$G$65:$G$148),IF($A74=INT($B$8+$B$4),(LOOKUP($A74,Retraite!$A$7:$A$47,Retraite!$K$7:$K$47)/LOOKUP($A74,Barèmes!$A$65:$A$148,Barèmes!$G$65:$G$148))*(1-(INT($B$8+1)-$B$8)),0)))</f>
        <v>15465.247646319423</v>
      </c>
      <c r="C74" s="121">
        <f ca="1">IF($A74&lt;$B$5+$B$4,-LOOKUP($A74,Cot_droits!$A$17:$A$68,Cot_droits!$Q$17:$Q$68)/LOOKUP($A74,Barèmes!$A$65:$A$148,Barèmes!$G$65:$G$148),IF(AND($A74&gt;=$B$5+$B$4,$A74&lt;=INT($B$8)-1+$B$4),LOOKUP($A74,Retraite!$A$7:$A$47,Retraite!N$7:$N$47)/LOOKUP($A74,Barèmes!$A$65:$A$148,Barèmes!$G$65:$G$148),IF($A74=INT($B$8+$B$4),(LOOKUP($A74,Retraite!$A$7:$A$47,Retraite!$N$7:$N$47)/LOOKUP($A74,Barèmes!$A$65:$A$148,Barèmes!$G$65:$G$148))*(1-(INT($B$8)+1-$B$8)),0)))</f>
        <v>14022.106089871337</v>
      </c>
      <c r="D74" s="115"/>
      <c r="E74" s="131">
        <f>IF($A74&lt;$B$5+$B$4,-(LOOKUP($A74,Cot_droits!$A$17:$A$68,Cot_droits!$H$17:$H$68)+LOOKUP($A74,Cot_droits!$A$17:$A$68,Cot_droits!$L$17:$L$68))/LOOKUP($A74,Barèmes!$A$65:$A$148,Barèmes!$G$65:$G$148),IF(AND($A74&gt;=$B$5+$B$4,$A74&lt;=INT($B$8)-1+$B$4),LOOKUP($A74,Retraite!$A$7:$A$47,Retraite!$L$7:$L$47)/LOOKUP($A74,Barèmes!$A$65:$A$148,Barèmes!$G$65:$G$148),IF($A74=INT($B$8+$B$4),(LOOKUP($A74,Retraite!$A$7:$A$47,Retraite!$L$7:$L$47)/LOOKUP($A74,Barèmes!$A$65:$A$148,Barèmes!$G$65:$G$148))*(1-(INT($B$8)+1-$B$8)),0)))</f>
        <v>11884.845583017619</v>
      </c>
      <c r="F74" s="121">
        <f ca="1">IF($A74&lt;$B$5+$B$4,-(LOOKUP($A74,Cot_droits!$A$17:$A$68,Cot_droits!$H$17:$H$68)+LOOKUP($A74,Cot_droits!$A$17:$A$68,Cot_droits!$L$17:$L$68))/LOOKUP($A74,Barèmes!$A$65:$A$148,Barèmes!$G$65:$G$148),IF(AND($A74&gt;=$B$5+$B$4,$A74&lt;=INT($B$8)-1+$B$4),LOOKUP($A74,Retraite!$A$7:$A$47,Retraite!$P$7:P$47)/LOOKUP($A74,Barèmes!$A$65:$A$148,Barèmes!$G$65:$G$148),IF($A74=INT($B$8+$B$4),(LOOKUP($A74,Retraite!$A$7:$A$47,Retraite!$P$7:$P$47)/LOOKUP($A74,Barèmes!$A$65:$A$148,Barèmes!$G$65:$G$148))*(1-(INT($B$8)+1-$B$8)),0)))</f>
        <v>10803.324634963017</v>
      </c>
      <c r="H74" s="131">
        <f ca="1">IF($A74&lt;$B$5+$B$4,-(LOOKUP($A74,Cot_droits!$A$17:$A$68,Cot_droits!$I$17:$I$68)+LOOKUP($A74,Cot_droits!$A$17:$A$68,Cot_droits!$J$17:$J$68)+LOOKUP($A74,Cot_droits!$A$17:$A$68,Cot_droits!$N$17:$N$68))/LOOKUP($A74,Barèmes!$A$65:$A$148,Barèmes!$G$65:$G$148),IF(AND($A74&gt;=$B$5+$B$4,$A74&lt;=INT($B$8)-1+$B$4),LOOKUP($A74,Retraite!$A$7:$A$47,Retraite!$M$7:$M$47)/LOOKUP($A74,Barèmes!$A$65:$A$148,Barèmes!$G$65:$G$148),IF($A74=INT($B$8+$B$4),(LOOKUP($A74,Retraite!$A$7:$A$47,Retraite!$M$7:$M$47)/LOOKUP($A74,Barèmes!$A$65:$A$148,Barèmes!$G$65:$G$148))*(1-(INT($B$8)+1-$B$8)),0)))</f>
        <v>3580.4020633018035</v>
      </c>
      <c r="I74" s="121">
        <f ca="1">IF($A74&lt;$B$5+$B$4,-(LOOKUP($A74,Cot_droits!$A$17:$A$68,Cot_droits!$I$17:$I$68)+LOOKUP($A74,Cot_droits!$A$17:$A$68,Cot_droits!$J$17:$J$68)+LOOKUP($A74,Cot_droits!$A$17:$A$68,Cot_droits!$N$17:$N$68))/LOOKUP($A74,Barèmes!$A$65:$A$148,Barèmes!$G$65:$G$148),IF(AND($A74&gt;=$B$5+$B$4,$A74&lt;=INT($B$8)-1+$B$4),LOOKUP($A74,Retraite!$A$7:$A$47,Retraite!$Q$7:Q$47)/LOOKUP($A74,Barèmes!$A$65:$A$148,Barèmes!$G$65:$G$148),IF($A74=INT($B$8+$B$4),(LOOKUP($A74,Retraite!$A$7:$A$47,Retraite!$Q$7:$Q$47)/LOOKUP($A74,Barèmes!$A$65:$A$148,Barèmes!$G$65:$G$148))*(1-(INT($B$8)+1-$B$8)),0)))</f>
        <v>3218.7814549083209</v>
      </c>
      <c r="J74" s="115"/>
    </row>
    <row r="75" spans="1:10" s="43" customFormat="1" ht="15.75" customHeight="1" x14ac:dyDescent="0.25">
      <c r="A75" s="125">
        <f t="shared" si="0"/>
        <v>2080</v>
      </c>
      <c r="B75" s="131">
        <f ca="1">IF($A75&lt;$B$5+$B$4,-LOOKUP($A75,Cot_droits!$A$17:$A$68,Cot_droits!$Q$17:$Q$68)/LOOKUP($A75,Barèmes!$A$65:$A$148,Barèmes!$G$65:$G$148),IF(AND($A75&gt;=$B$5+$B$4,$A75&lt;=INT($B$8)+$B$4-1),LOOKUP($A75,Retraite!$A$7:$A$47,Retraite!$K$7:$K$47)/LOOKUP($A75,Barèmes!$A$65:$A$148,Barèmes!$G$65:$G$148),IF($A75=INT($B$8+$B$4),(LOOKUP($A75,Retraite!$A$7:$A$47,Retraite!$K$7:$K$47)/LOOKUP($A75,Barèmes!$A$65:$A$148,Barèmes!$G$65:$G$148))*(1-(INT($B$8+1)-$B$8)),0)))</f>
        <v>15272.432902477169</v>
      </c>
      <c r="C75" s="121">
        <f ca="1">IF($A75&lt;$B$5+$B$4,-LOOKUP($A75,Cot_droits!$A$17:$A$68,Cot_droits!$Q$17:$Q$68)/LOOKUP($A75,Barèmes!$A$65:$A$148,Barèmes!$G$65:$G$148),IF(AND($A75&gt;=$B$5+$B$4,$A75&lt;=INT($B$8)-1+$B$4),LOOKUP($A75,Retraite!$A$7:$A$47,Retraite!N$7:$N$47)/LOOKUP($A75,Barèmes!$A$65:$A$148,Barèmes!$G$65:$G$148),IF($A75=INT($B$8+$B$4),(LOOKUP($A75,Retraite!$A$7:$A$47,Retraite!$N$7:$N$47)/LOOKUP($A75,Barèmes!$A$65:$A$148,Barèmes!$G$65:$G$148))*(1-(INT($B$8)+1-$B$8)),0)))</f>
        <v>13847.240432861207</v>
      </c>
      <c r="D75" s="115"/>
      <c r="E75" s="131">
        <f>IF($A75&lt;$B$5+$B$4,-(LOOKUP($A75,Cot_droits!$A$17:$A$68,Cot_droits!$H$17:$H$68)+LOOKUP($A75,Cot_droits!$A$17:$A$68,Cot_droits!$L$17:$L$68))/LOOKUP($A75,Barèmes!$A$65:$A$148,Barèmes!$G$65:$G$148),IF(AND($A75&gt;=$B$5+$B$4,$A75&lt;=INT($B$8)-1+$B$4),LOOKUP($A75,Retraite!$A$7:$A$47,Retraite!$L$7:$L$47)/LOOKUP($A75,Barèmes!$A$65:$A$148,Barèmes!$G$65:$G$148),IF($A75=INT($B$8+$B$4),(LOOKUP($A75,Retraite!$A$7:$A$47,Retraite!$L$7:$L$47)/LOOKUP($A75,Barèmes!$A$65:$A$148,Barèmes!$G$65:$G$148))*(1-(INT($B$8)+1-$B$8)),0)))</f>
        <v>11732.325353423117</v>
      </c>
      <c r="F75" s="121">
        <f ca="1">IF($A75&lt;$B$5+$B$4,-(LOOKUP($A75,Cot_droits!$A$17:$A$68,Cot_droits!$H$17:$H$68)+LOOKUP($A75,Cot_droits!$A$17:$A$68,Cot_droits!$L$17:$L$68))/LOOKUP($A75,Barèmes!$A$65:$A$148,Barèmes!$G$65:$G$148),IF(AND($A75&gt;=$B$5+$B$4,$A75&lt;=INT($B$8)-1+$B$4),LOOKUP($A75,Retraite!$A$7:$A$47,Retraite!$P$7:P$47)/LOOKUP($A75,Barèmes!$A$65:$A$148,Barèmes!$G$65:$G$148),IF($A75=INT($B$8+$B$4),(LOOKUP($A75,Retraite!$A$7:$A$47,Retraite!$P$7:$P$47)/LOOKUP($A75,Barèmes!$A$65:$A$148,Barèmes!$G$65:$G$148))*(1-(INT($B$8)+1-$B$8)),0)))</f>
        <v>10664.683746261613</v>
      </c>
      <c r="H75" s="131">
        <f ca="1">IF($A75&lt;$B$5+$B$4,-(LOOKUP($A75,Cot_droits!$A$17:$A$68,Cot_droits!$I$17:$I$68)+LOOKUP($A75,Cot_droits!$A$17:$A$68,Cot_droits!$J$17:$J$68)+LOOKUP($A75,Cot_droits!$A$17:$A$68,Cot_droits!$N$17:$N$68))/LOOKUP($A75,Barèmes!$A$65:$A$148,Barèmes!$G$65:$G$148),IF(AND($A75&gt;=$B$5+$B$4,$A75&lt;=INT($B$8)-1+$B$4),LOOKUP($A75,Retraite!$A$7:$A$47,Retraite!$M$7:$M$47)/LOOKUP($A75,Barèmes!$A$65:$A$148,Barèmes!$G$65:$G$148),IF($A75=INT($B$8+$B$4),(LOOKUP($A75,Retraite!$A$7:$A$47,Retraite!$M$7:$M$47)/LOOKUP($A75,Barèmes!$A$65:$A$148,Barèmes!$G$65:$G$148))*(1-(INT($B$8)+1-$B$8)),0)))</f>
        <v>3540.1075490540497</v>
      </c>
      <c r="I75" s="121">
        <f ca="1">IF($A75&lt;$B$5+$B$4,-(LOOKUP($A75,Cot_droits!$A$17:$A$68,Cot_droits!$I$17:$I$68)+LOOKUP($A75,Cot_droits!$A$17:$A$68,Cot_droits!$J$17:$J$68)+LOOKUP($A75,Cot_droits!$A$17:$A$68,Cot_droits!$N$17:$N$68))/LOOKUP($A75,Barèmes!$A$65:$A$148,Barèmes!$G$65:$G$148),IF(AND($A75&gt;=$B$5+$B$4,$A75&lt;=INT($B$8)-1+$B$4),LOOKUP($A75,Retraite!$A$7:$A$47,Retraite!$Q$7:Q$47)/LOOKUP($A75,Barèmes!$A$65:$A$148,Barèmes!$G$65:$G$148),IF($A75=INT($B$8+$B$4),(LOOKUP($A75,Retraite!$A$7:$A$47,Retraite!$Q$7:$Q$47)/LOOKUP($A75,Barèmes!$A$65:$A$148,Barèmes!$G$65:$G$148))*(1-(INT($B$8)+1-$B$8)),0)))</f>
        <v>3182.5566865995906</v>
      </c>
      <c r="J75" s="115"/>
    </row>
    <row r="76" spans="1:10" s="43" customFormat="1" ht="15.75" customHeight="1" x14ac:dyDescent="0.25">
      <c r="A76" s="125">
        <f t="shared" si="0"/>
        <v>2081</v>
      </c>
      <c r="B76" s="131">
        <f ca="1">IF($A76&lt;$B$5+$B$4,-LOOKUP($A76,Cot_droits!$A$17:$A$68,Cot_droits!$Q$17:$Q$68)/LOOKUP($A76,Barèmes!$A$65:$A$148,Barèmes!$G$65:$G$148),IF(AND($A76&gt;=$B$5+$B$4,$A76&lt;=INT($B$8)+$B$4-1),LOOKUP($A76,Retraite!$A$7:$A$47,Retraite!$K$7:$K$47)/LOOKUP($A76,Barèmes!$A$65:$A$148,Barèmes!$G$65:$G$148),IF($A76=INT($B$8+$B$4),(LOOKUP($A76,Retraite!$A$7:$A$47,Retraite!$K$7:$K$47)/LOOKUP($A76,Barèmes!$A$65:$A$148,Barèmes!$G$65:$G$148))*(1-(INT($B$8+1)-$B$8)),0)))</f>
        <v>15082.028958484763</v>
      </c>
      <c r="C76" s="121">
        <f ca="1">IF($A76&lt;$B$5+$B$4,-LOOKUP($A76,Cot_droits!$A$17:$A$68,Cot_droits!$Q$17:$Q$68)/LOOKUP($A76,Barèmes!$A$65:$A$148,Barèmes!$G$65:$G$148),IF(AND($A76&gt;=$B$5+$B$4,$A76&lt;=INT($B$8)-1+$B$4),LOOKUP($A76,Retraite!$A$7:$A$47,Retraite!N$7:$N$47)/LOOKUP($A76,Barèmes!$A$65:$A$148,Barèmes!$G$65:$G$148),IF($A76=INT($B$8+$B$4),(LOOKUP($A76,Retraite!$A$7:$A$47,Retraite!$N$7:$N$47)/LOOKUP($A76,Barèmes!$A$65:$A$148,Barèmes!$G$65:$G$148))*(1-(INT($B$8)+1-$B$8)),0)))</f>
        <v>13674.561658094615</v>
      </c>
      <c r="D76" s="115"/>
      <c r="E76" s="131">
        <f>IF($A76&lt;$B$5+$B$4,-(LOOKUP($A76,Cot_droits!$A$17:$A$68,Cot_droits!$H$17:$H$68)+LOOKUP($A76,Cot_droits!$A$17:$A$68,Cot_droits!$L$17:$L$68))/LOOKUP($A76,Barèmes!$A$65:$A$148,Barèmes!$G$65:$G$148),IF(AND($A76&gt;=$B$5+$B$4,$A76&lt;=INT($B$8)-1+$B$4),LOOKUP($A76,Retraite!$A$7:$A$47,Retraite!$L$7:$L$47)/LOOKUP($A76,Barèmes!$A$65:$A$148,Barèmes!$G$65:$G$148),IF($A76=INT($B$8+$B$4),(LOOKUP($A76,Retraite!$A$7:$A$47,Retraite!$L$7:$L$47)/LOOKUP($A76,Barèmes!$A$65:$A$148,Barèmes!$G$65:$G$148))*(1-(INT($B$8)+1-$B$8)),0)))</f>
        <v>11581.762441681263</v>
      </c>
      <c r="F76" s="121">
        <f ca="1">IF($A76&lt;$B$5+$B$4,-(LOOKUP($A76,Cot_droits!$A$17:$A$68,Cot_droits!$H$17:$H$68)+LOOKUP($A76,Cot_droits!$A$17:$A$68,Cot_droits!$L$17:$L$68))/LOOKUP($A76,Barèmes!$A$65:$A$148,Barèmes!$G$65:$G$148),IF(AND($A76&gt;=$B$5+$B$4,$A76&lt;=INT($B$8)-1+$B$4),LOOKUP($A76,Retraite!$A$7:$A$47,Retraite!$P$7:P$47)/LOOKUP($A76,Barèmes!$A$65:$A$148,Barèmes!$G$65:$G$148),IF($A76=INT($B$8+$B$4),(LOOKUP($A76,Retraite!$A$7:$A$47,Retraite!$P$7:$P$47)/LOOKUP($A76,Barèmes!$A$65:$A$148,Barèmes!$G$65:$G$148))*(1-(INT($B$8)+1-$B$8)),0)))</f>
        <v>10527.822059488268</v>
      </c>
      <c r="H76" s="131">
        <f ca="1">IF($A76&lt;$B$5+$B$4,-(LOOKUP($A76,Cot_droits!$A$17:$A$68,Cot_droits!$I$17:$I$68)+LOOKUP($A76,Cot_droits!$A$17:$A$68,Cot_droits!$J$17:$J$68)+LOOKUP($A76,Cot_droits!$A$17:$A$68,Cot_droits!$N$17:$N$68))/LOOKUP($A76,Barèmes!$A$65:$A$148,Barèmes!$G$65:$G$148),IF(AND($A76&gt;=$B$5+$B$4,$A76&lt;=INT($B$8)-1+$B$4),LOOKUP($A76,Retraite!$A$7:$A$47,Retraite!$M$7:$M$47)/LOOKUP($A76,Barèmes!$A$65:$A$148,Barèmes!$G$65:$G$148),IF($A76=INT($B$8+$B$4),(LOOKUP($A76,Retraite!$A$7:$A$47,Retraite!$M$7:$M$47)/LOOKUP($A76,Barèmes!$A$65:$A$148,Barèmes!$G$65:$G$148))*(1-(INT($B$8)+1-$B$8)),0)))</f>
        <v>3500.2665168035014</v>
      </c>
      <c r="I76" s="121">
        <f ca="1">IF($A76&lt;$B$5+$B$4,-(LOOKUP($A76,Cot_droits!$A$17:$A$68,Cot_droits!$I$17:$I$68)+LOOKUP($A76,Cot_droits!$A$17:$A$68,Cot_droits!$J$17:$J$68)+LOOKUP($A76,Cot_droits!$A$17:$A$68,Cot_droits!$N$17:$N$68))/LOOKUP($A76,Barèmes!$A$65:$A$148,Barèmes!$G$65:$G$148),IF(AND($A76&gt;=$B$5+$B$4,$A76&lt;=INT($B$8)-1+$B$4),LOOKUP($A76,Retraite!$A$7:$A$47,Retraite!$Q$7:Q$47)/LOOKUP($A76,Barèmes!$A$65:$A$148,Barèmes!$G$65:$G$148),IF($A76=INT($B$8+$B$4),(LOOKUP($A76,Retraite!$A$7:$A$47,Retraite!$Q$7:$Q$47)/LOOKUP($A76,Barèmes!$A$65:$A$148,Barèmes!$G$65:$G$148))*(1-(INT($B$8)+1-$B$8)),0)))</f>
        <v>3146.739598606348</v>
      </c>
      <c r="J76" s="115"/>
    </row>
    <row r="77" spans="1:10" s="43" customFormat="1" ht="15.75" customHeight="1" x14ac:dyDescent="0.25">
      <c r="A77" s="125">
        <f t="shared" si="0"/>
        <v>2082</v>
      </c>
      <c r="B77" s="131">
        <f ca="1">IF($A77&lt;$B$5+$B$4,-LOOKUP($A77,Cot_droits!$A$17:$A$68,Cot_droits!$Q$17:$Q$68)/LOOKUP($A77,Barèmes!$A$65:$A$148,Barèmes!$G$65:$G$148),IF(AND($A77&gt;=$B$5+$B$4,$A77&lt;=INT($B$8)+$B$4-1),LOOKUP($A77,Retraite!$A$7:$A$47,Retraite!$K$7:$K$47)/LOOKUP($A77,Barèmes!$A$65:$A$148,Barèmes!$G$65:$G$148),IF($A77=INT($B$8+$B$4),(LOOKUP($A77,Retraite!$A$7:$A$47,Retraite!$K$7:$K$47)/LOOKUP($A77,Barèmes!$A$65:$A$148,Barèmes!$G$65:$G$148))*(1-(INT($B$8+1)-$B$8)),0)))</f>
        <v>14894.005592180618</v>
      </c>
      <c r="C77" s="121">
        <f ca="1">IF($A77&lt;$B$5+$B$4,-LOOKUP($A77,Cot_droits!$A$17:$A$68,Cot_droits!$Q$17:$Q$68)/LOOKUP($A77,Barèmes!$A$65:$A$148,Barèmes!$G$65:$G$148),IF(AND($A77&gt;=$B$5+$B$4,$A77&lt;=INT($B$8)-1+$B$4),LOOKUP($A77,Retraite!$A$7:$A$47,Retraite!N$7:$N$47)/LOOKUP($A77,Barèmes!$A$65:$A$148,Barèmes!$G$65:$G$148),IF($A77=INT($B$8+$B$4),(LOOKUP($A77,Retraite!$A$7:$A$47,Retraite!$N$7:$N$47)/LOOKUP($A77,Barèmes!$A$65:$A$148,Barèmes!$G$65:$G$148))*(1-(INT($B$8)+1-$B$8)),0)))</f>
        <v>13504.042344662394</v>
      </c>
      <c r="D77" s="115"/>
      <c r="E77" s="131">
        <f>IF($A77&lt;$B$5+$B$4,-(LOOKUP($A77,Cot_droits!$A$17:$A$68,Cot_droits!$H$17:$H$68)+LOOKUP($A77,Cot_droits!$A$17:$A$68,Cot_droits!$L$17:$L$68))/LOOKUP($A77,Barèmes!$A$65:$A$148,Barèmes!$G$65:$G$148),IF(AND($A77&gt;=$B$5+$B$4,$A77&lt;=INT($B$8)-1+$B$4),LOOKUP($A77,Retraite!$A$7:$A$47,Retraite!$L$7:$L$47)/LOOKUP($A77,Barèmes!$A$65:$A$148,Barèmes!$G$65:$G$148),IF($A77=INT($B$8+$B$4),(LOOKUP($A77,Retraite!$A$7:$A$47,Retraite!$L$7:$L$47)/LOOKUP($A77,Barèmes!$A$65:$A$148,Barèmes!$G$65:$G$148))*(1-(INT($B$8)+1-$B$8)),0)))</f>
        <v>11433.131729201643</v>
      </c>
      <c r="F77" s="121">
        <f ca="1">IF($A77&lt;$B$5+$B$4,-(LOOKUP($A77,Cot_droits!$A$17:$A$68,Cot_droits!$H$17:$H$68)+LOOKUP($A77,Cot_droits!$A$17:$A$68,Cot_droits!$L$17:$L$68))/LOOKUP($A77,Barèmes!$A$65:$A$148,Barèmes!$G$65:$G$148),IF(AND($A77&gt;=$B$5+$B$4,$A77&lt;=INT($B$8)-1+$B$4),LOOKUP($A77,Retraite!$A$7:$A$47,Retraite!$P$7:P$47)/LOOKUP($A77,Barèmes!$A$65:$A$148,Barèmes!$G$65:$G$148),IF($A77=INT($B$8+$B$4),(LOOKUP($A77,Retraite!$A$7:$A$47,Retraite!$P$7:$P$47)/LOOKUP($A77,Barèmes!$A$65:$A$148,Barèmes!$G$65:$G$148))*(1-(INT($B$8)+1-$B$8)),0)))</f>
        <v>10392.716741844295</v>
      </c>
      <c r="H77" s="131">
        <f ca="1">IF($A77&lt;$B$5+$B$4,-(LOOKUP($A77,Cot_droits!$A$17:$A$68,Cot_droits!$I$17:$I$68)+LOOKUP($A77,Cot_droits!$A$17:$A$68,Cot_droits!$J$17:$J$68)+LOOKUP($A77,Cot_droits!$A$17:$A$68,Cot_droits!$N$17:$N$68))/LOOKUP($A77,Barèmes!$A$65:$A$148,Barèmes!$G$65:$G$148),IF(AND($A77&gt;=$B$5+$B$4,$A77&lt;=INT($B$8)-1+$B$4),LOOKUP($A77,Retraite!$A$7:$A$47,Retraite!$M$7:$M$47)/LOOKUP($A77,Barèmes!$A$65:$A$148,Barèmes!$G$65:$G$148),IF($A77=INT($B$8+$B$4),(LOOKUP($A77,Retraite!$A$7:$A$47,Retraite!$M$7:$M$47)/LOOKUP($A77,Barèmes!$A$65:$A$148,Barèmes!$G$65:$G$148))*(1-(INT($B$8)+1-$B$8)),0)))</f>
        <v>3460.8738629789746</v>
      </c>
      <c r="I77" s="121">
        <f ca="1">IF($A77&lt;$B$5+$B$4,-(LOOKUP($A77,Cot_droits!$A$17:$A$68,Cot_droits!$I$17:$I$68)+LOOKUP($A77,Cot_droits!$A$17:$A$68,Cot_droits!$J$17:$J$68)+LOOKUP($A77,Cot_droits!$A$17:$A$68,Cot_droits!$N$17:$N$68))/LOOKUP($A77,Barèmes!$A$65:$A$148,Barèmes!$G$65:$G$148),IF(AND($A77&gt;=$B$5+$B$4,$A77&lt;=INT($B$8)-1+$B$4),LOOKUP($A77,Retraite!$A$7:$A$47,Retraite!$Q$7:Q$47)/LOOKUP($A77,Barèmes!$A$65:$A$148,Barèmes!$G$65:$G$148),IF($A77=INT($B$8+$B$4),(LOOKUP($A77,Retraite!$A$7:$A$47,Retraite!$Q$7:$Q$47)/LOOKUP($A77,Barèmes!$A$65:$A$148,Barèmes!$G$65:$G$148))*(1-(INT($B$8)+1-$B$8)),0)))</f>
        <v>3111.3256028180981</v>
      </c>
      <c r="J77" s="115"/>
    </row>
    <row r="78" spans="1:10" s="43" customFormat="1" ht="15.75" customHeight="1" x14ac:dyDescent="0.25">
      <c r="A78" s="125">
        <f t="shared" si="0"/>
        <v>2083</v>
      </c>
      <c r="B78" s="131">
        <f ca="1">IF($A78&lt;$B$5+$B$4,-LOOKUP($A78,Cot_droits!$A$17:$A$68,Cot_droits!$Q$17:$Q$68)/LOOKUP($A78,Barèmes!$A$65:$A$148,Barèmes!$G$65:$G$148),IF(AND($A78&gt;=$B$5+$B$4,$A78&lt;=INT($B$8)+$B$4-1),LOOKUP($A78,Retraite!$A$7:$A$47,Retraite!$K$7:$K$47)/LOOKUP($A78,Barèmes!$A$65:$A$148,Barèmes!$G$65:$G$148),IF($A78=INT($B$8+$B$4),(LOOKUP($A78,Retraite!$A$7:$A$47,Retraite!$K$7:$K$47)/LOOKUP($A78,Barèmes!$A$65:$A$148,Barèmes!$G$65:$G$148))*(1-(INT($B$8+1)-$B$8)),0)))</f>
        <v>14708.332961190785</v>
      </c>
      <c r="C78" s="121">
        <f ca="1">IF($A78&lt;$B$5+$B$4,-LOOKUP($A78,Cot_droits!$A$17:$A$68,Cot_droits!$Q$17:$Q$68)/LOOKUP($A78,Barèmes!$A$65:$A$148,Barèmes!$G$65:$G$148),IF(AND($A78&gt;=$B$5+$B$4,$A78&lt;=INT($B$8)-1+$B$4),LOOKUP($A78,Retraite!$A$7:$A$47,Retraite!N$7:$N$47)/LOOKUP($A78,Barèmes!$A$65:$A$148,Barèmes!$G$65:$G$148),IF($A78=INT($B$8+$B$4),(LOOKUP($A78,Retraite!$A$7:$A$47,Retraite!$N$7:$N$47)/LOOKUP($A78,Barèmes!$A$65:$A$148,Barèmes!$G$65:$G$148))*(1-(INT($B$8)+1-$B$8)),0)))</f>
        <v>13335.655416307967</v>
      </c>
      <c r="D78" s="115"/>
      <c r="E78" s="131">
        <f>IF($A78&lt;$B$5+$B$4,-(LOOKUP($A78,Cot_droits!$A$17:$A$68,Cot_droits!$H$17:$H$68)+LOOKUP($A78,Cot_droits!$A$17:$A$68,Cot_droits!$L$17:$L$68))/LOOKUP($A78,Barèmes!$A$65:$A$148,Barèmes!$G$65:$G$148),IF(AND($A78&gt;=$B$5+$B$4,$A78&lt;=INT($B$8)-1+$B$4),LOOKUP($A78,Retraite!$A$7:$A$47,Retraite!$L$7:$L$47)/LOOKUP($A78,Barèmes!$A$65:$A$148,Barèmes!$G$65:$G$148),IF($A78=INT($B$8+$B$4),(LOOKUP($A78,Retraite!$A$7:$A$47,Retraite!$L$7:$L$47)/LOOKUP($A78,Barèmes!$A$65:$A$148,Barèmes!$G$65:$G$148))*(1-(INT($B$8)+1-$B$8)),0)))</f>
        <v>11286.408419744957</v>
      </c>
      <c r="F78" s="121">
        <f ca="1">IF($A78&lt;$B$5+$B$4,-(LOOKUP($A78,Cot_droits!$A$17:$A$68,Cot_droits!$H$17:$H$68)+LOOKUP($A78,Cot_droits!$A$17:$A$68,Cot_droits!$L$17:$L$68))/LOOKUP($A78,Barèmes!$A$65:$A$148,Barèmes!$G$65:$G$148),IF(AND($A78&gt;=$B$5+$B$4,$A78&lt;=INT($B$8)-1+$B$4),LOOKUP($A78,Retraite!$A$7:$A$47,Retraite!$P$7:P$47)/LOOKUP($A78,Barèmes!$A$65:$A$148,Barèmes!$G$65:$G$148),IF($A78=INT($B$8+$B$4),(LOOKUP($A78,Retraite!$A$7:$A$47,Retraite!$P$7:$P$47)/LOOKUP($A78,Barèmes!$A$65:$A$148,Barèmes!$G$65:$G$148))*(1-(INT($B$8)+1-$B$8)),0)))</f>
        <v>10259.345253548167</v>
      </c>
      <c r="H78" s="131">
        <f ca="1">IF($A78&lt;$B$5+$B$4,-(LOOKUP($A78,Cot_droits!$A$17:$A$68,Cot_droits!$I$17:$I$68)+LOOKUP($A78,Cot_droits!$A$17:$A$68,Cot_droits!$J$17:$J$68)+LOOKUP($A78,Cot_droits!$A$17:$A$68,Cot_droits!$N$17:$N$68))/LOOKUP($A78,Barèmes!$A$65:$A$148,Barèmes!$G$65:$G$148),IF(AND($A78&gt;=$B$5+$B$4,$A78&lt;=INT($B$8)-1+$B$4),LOOKUP($A78,Retraite!$A$7:$A$47,Retraite!$M$7:$M$47)/LOOKUP($A78,Barèmes!$A$65:$A$148,Barèmes!$G$65:$G$148),IF($A78=INT($B$8+$B$4),(LOOKUP($A78,Retraite!$A$7:$A$47,Retraite!$M$7:$M$47)/LOOKUP($A78,Barèmes!$A$65:$A$148,Barèmes!$G$65:$G$148))*(1-(INT($B$8)+1-$B$8)),0)))</f>
        <v>3421.9245414458273</v>
      </c>
      <c r="I78" s="121">
        <f ca="1">IF($A78&lt;$B$5+$B$4,-(LOOKUP($A78,Cot_droits!$A$17:$A$68,Cot_droits!$I$17:$I$68)+LOOKUP($A78,Cot_droits!$A$17:$A$68,Cot_droits!$J$17:$J$68)+LOOKUP($A78,Cot_droits!$A$17:$A$68,Cot_droits!$N$17:$N$68))/LOOKUP($A78,Barèmes!$A$65:$A$148,Barèmes!$G$65:$G$148),IF(AND($A78&gt;=$B$5+$B$4,$A78&lt;=INT($B$8)-1+$B$4),LOOKUP($A78,Retraite!$A$7:$A$47,Retraite!$Q$7:Q$47)/LOOKUP($A78,Barèmes!$A$65:$A$148,Barèmes!$G$65:$G$148),IF($A78=INT($B$8+$B$4),(LOOKUP($A78,Retraite!$A$7:$A$47,Retraite!$Q$7:$Q$47)/LOOKUP($A78,Barèmes!$A$65:$A$148,Barèmes!$G$65:$G$148))*(1-(INT($B$8)+1-$B$8)),0)))</f>
        <v>3076.3101627597985</v>
      </c>
      <c r="J78" s="115"/>
    </row>
    <row r="79" spans="1:10" s="43" customFormat="1" ht="15.75" customHeight="1" x14ac:dyDescent="0.25">
      <c r="A79" s="125">
        <f t="shared" ref="A79:A95" si="1">A78+1</f>
        <v>2084</v>
      </c>
      <c r="B79" s="131">
        <f ca="1">IF($A79&lt;$B$5+$B$4,-LOOKUP($A79,Cot_droits!$A$17:$A$68,Cot_droits!$Q$17:$Q$68)/LOOKUP($A79,Barèmes!$A$65:$A$148,Barèmes!$G$65:$G$148),IF(AND($A79&gt;=$B$5+$B$4,$A79&lt;=INT($B$8)+$B$4-1),LOOKUP($A79,Retraite!$A$7:$A$47,Retraite!$K$7:$K$47)/LOOKUP($A79,Barèmes!$A$65:$A$148,Barèmes!$G$65:$G$148),IF($A79=INT($B$8+$B$4),(LOOKUP($A79,Retraite!$A$7:$A$47,Retraite!$K$7:$K$47)/LOOKUP($A79,Barèmes!$A$65:$A$148,Barèmes!$G$65:$G$148))*(1-(INT($B$8+1)-$B$8)),0)))</f>
        <v>14524.981598145801</v>
      </c>
      <c r="C79" s="121">
        <f ca="1">IF($A79&lt;$B$5+$B$4,-LOOKUP($A79,Cot_droits!$A$17:$A$68,Cot_droits!$Q$17:$Q$68)/LOOKUP($A79,Barèmes!$A$65:$A$148,Barèmes!$G$65:$G$148),IF(AND($A79&gt;=$B$5+$B$4,$A79&lt;=INT($B$8)-1+$B$4),LOOKUP($A79,Retraite!$A$7:$A$47,Retraite!N$7:$N$47)/LOOKUP($A79,Barèmes!$A$65:$A$148,Barèmes!$G$65:$G$148),IF($A79=INT($B$8+$B$4),(LOOKUP($A79,Retraite!$A$7:$A$47,Retraite!$N$7:$N$47)/LOOKUP($A79,Barèmes!$A$65:$A$148,Barèmes!$G$65:$G$148))*(1-(INT($B$8)+1-$B$8)),0)))</f>
        <v>13169.374137085939</v>
      </c>
      <c r="D79" s="115"/>
      <c r="E79" s="131">
        <f>IF($A79&lt;$B$5+$B$4,-(LOOKUP($A79,Cot_droits!$A$17:$A$68,Cot_droits!$H$17:$H$68)+LOOKUP($A79,Cot_droits!$A$17:$A$68,Cot_droits!$L$17:$L$68))/LOOKUP($A79,Barèmes!$A$65:$A$148,Barèmes!$G$65:$G$148),IF(AND($A79&gt;=$B$5+$B$4,$A79&lt;=INT($B$8)-1+$B$4),LOOKUP($A79,Retraite!$A$7:$A$47,Retraite!$L$7:$L$47)/LOOKUP($A79,Barèmes!$A$65:$A$148,Barèmes!$G$65:$G$148),IF($A79=INT($B$8+$B$4),(LOOKUP($A79,Retraite!$A$7:$A$47,Retraite!$L$7:$L$47)/LOOKUP($A79,Barèmes!$A$65:$A$148,Barèmes!$G$65:$G$148))*(1-(INT($B$8)+1-$B$8)),0)))</f>
        <v>11141.568035286236</v>
      </c>
      <c r="F79" s="121">
        <f ca="1">IF($A79&lt;$B$5+$B$4,-(LOOKUP($A79,Cot_droits!$A$17:$A$68,Cot_droits!$H$17:$H$68)+LOOKUP($A79,Cot_droits!$A$17:$A$68,Cot_droits!$L$17:$L$68))/LOOKUP($A79,Barèmes!$A$65:$A$148,Barèmes!$G$65:$G$148),IF(AND($A79&gt;=$B$5+$B$4,$A79&lt;=INT($B$8)-1+$B$4),LOOKUP($A79,Retraite!$A$7:$A$47,Retraite!$P$7:P$47)/LOOKUP($A79,Barèmes!$A$65:$A$148,Barèmes!$G$65:$G$148),IF($A79=INT($B$8+$B$4),(LOOKUP($A79,Retraite!$A$7:$A$47,Retraite!$P$7:$P$47)/LOOKUP($A79,Barèmes!$A$65:$A$148,Barèmes!$G$65:$G$148))*(1-(INT($B$8)+1-$B$8)),0)))</f>
        <v>10127.685344075189</v>
      </c>
      <c r="H79" s="131">
        <f ca="1">IF($A79&lt;$B$5+$B$4,-(LOOKUP($A79,Cot_droits!$A$17:$A$68,Cot_droits!$I$17:$I$68)+LOOKUP($A79,Cot_droits!$A$17:$A$68,Cot_droits!$J$17:$J$68)+LOOKUP($A79,Cot_droits!$A$17:$A$68,Cot_droits!$N$17:$N$68))/LOOKUP($A79,Barèmes!$A$65:$A$148,Barèmes!$G$65:$G$148),IF(AND($A79&gt;=$B$5+$B$4,$A79&lt;=INT($B$8)-1+$B$4),LOOKUP($A79,Retraite!$A$7:$A$47,Retraite!$M$7:$M$47)/LOOKUP($A79,Barèmes!$A$65:$A$148,Barèmes!$G$65:$G$148),IF($A79=INT($B$8+$B$4),(LOOKUP($A79,Retraite!$A$7:$A$47,Retraite!$M$7:$M$47)/LOOKUP($A79,Barèmes!$A$65:$A$148,Barèmes!$G$65:$G$148))*(1-(INT($B$8)+1-$B$8)),0)))</f>
        <v>3383.4135628595654</v>
      </c>
      <c r="I79" s="121">
        <f ca="1">IF($A79&lt;$B$5+$B$4,-(LOOKUP($A79,Cot_droits!$A$17:$A$68,Cot_droits!$I$17:$I$68)+LOOKUP($A79,Cot_droits!$A$17:$A$68,Cot_droits!$J$17:$J$68)+LOOKUP($A79,Cot_droits!$A$17:$A$68,Cot_droits!$N$17:$N$68))/LOOKUP($A79,Barèmes!$A$65:$A$148,Barèmes!$G$65:$G$148),IF(AND($A79&gt;=$B$5+$B$4,$A79&lt;=INT($B$8)-1+$B$4),LOOKUP($A79,Retraite!$A$7:$A$47,Retraite!$Q$7:Q$47)/LOOKUP($A79,Barèmes!$A$65:$A$148,Barèmes!$G$65:$G$148),IF($A79=INT($B$8+$B$4),(LOOKUP($A79,Retraite!$A$7:$A$47,Retraite!$Q$7:$Q$47)/LOOKUP($A79,Barèmes!$A$65:$A$148,Barèmes!$G$65:$G$148))*(1-(INT($B$8)+1-$B$8)),0)))</f>
        <v>3041.6887930107496</v>
      </c>
      <c r="J79" s="115"/>
    </row>
    <row r="80" spans="1:10" s="43" customFormat="1" ht="15.75" customHeight="1" x14ac:dyDescent="0.25">
      <c r="A80" s="125">
        <f t="shared" si="1"/>
        <v>2085</v>
      </c>
      <c r="B80" s="131">
        <f ca="1">IF($A80&lt;$B$5+$B$4,-LOOKUP($A80,Cot_droits!$A$17:$A$68,Cot_droits!$Q$17:$Q$68)/LOOKUP($A80,Barèmes!$A$65:$A$148,Barèmes!$G$65:$G$148),IF(AND($A80&gt;=$B$5+$B$4,$A80&lt;=INT($B$8)+$B$4-1),LOOKUP($A80,Retraite!$A$7:$A$47,Retraite!$K$7:$K$47)/LOOKUP($A80,Barèmes!$A$65:$A$148,Barèmes!$G$65:$G$148),IF($A80=INT($B$8+$B$4),(LOOKUP($A80,Retraite!$A$7:$A$47,Retraite!$K$7:$K$47)/LOOKUP($A80,Barèmes!$A$65:$A$148,Barèmes!$G$65:$G$148))*(1-(INT($B$8+1)-$B$8)),0)))</f>
        <v>14343.922405957837</v>
      </c>
      <c r="C80" s="121">
        <f ca="1">IF($A80&lt;$B$5+$B$4,-LOOKUP($A80,Cot_droits!$A$17:$A$68,Cot_droits!$Q$17:$Q$68)/LOOKUP($A80,Barèmes!$A$65:$A$148,Barèmes!$G$65:$G$148),IF(AND($A80&gt;=$B$5+$B$4,$A80&lt;=INT($B$8)-1+$B$4),LOOKUP($A80,Retraite!$A$7:$A$47,Retraite!N$7:$N$47)/LOOKUP($A80,Barèmes!$A$65:$A$148,Barèmes!$G$65:$G$148),IF($A80=INT($B$8+$B$4),(LOOKUP($A80,Retraite!$A$7:$A$47,Retraite!$N$7:$N$47)/LOOKUP($A80,Barèmes!$A$65:$A$148,Barèmes!$G$65:$G$148))*(1-(INT($B$8)+1-$B$8)),0)))</f>
        <v>13005.172107075408</v>
      </c>
      <c r="D80" s="115"/>
      <c r="E80" s="131">
        <f>IF($A80&lt;$B$5+$B$4,-(LOOKUP($A80,Cot_droits!$A$17:$A$68,Cot_droits!$H$17:$H$68)+LOOKUP($A80,Cot_droits!$A$17:$A$68,Cot_droits!$L$17:$L$68))/LOOKUP($A80,Barèmes!$A$65:$A$148,Barèmes!$G$65:$G$148),IF(AND($A80&gt;=$B$5+$B$4,$A80&lt;=INT($B$8)-1+$B$4),LOOKUP($A80,Retraite!$A$7:$A$47,Retraite!$L$7:$L$47)/LOOKUP($A80,Barèmes!$A$65:$A$148,Barèmes!$G$65:$G$148),IF($A80=INT($B$8+$B$4),(LOOKUP($A80,Retraite!$A$7:$A$47,Retraite!$L$7:$L$47)/LOOKUP($A80,Barèmes!$A$65:$A$148,Barèmes!$G$65:$G$148))*(1-(INT($B$8)+1-$B$8)),0)))</f>
        <v>10998.586411931132</v>
      </c>
      <c r="F80" s="121">
        <f ca="1">IF($A80&lt;$B$5+$B$4,-(LOOKUP($A80,Cot_droits!$A$17:$A$68,Cot_droits!$H$17:$H$68)+LOOKUP($A80,Cot_droits!$A$17:$A$68,Cot_droits!$L$17:$L$68))/LOOKUP($A80,Barèmes!$A$65:$A$148,Barèmes!$G$65:$G$148),IF(AND($A80&gt;=$B$5+$B$4,$A80&lt;=INT($B$8)-1+$B$4),LOOKUP($A80,Retraite!$A$7:$A$47,Retraite!$P$7:P$47)/LOOKUP($A80,Barèmes!$A$65:$A$148,Barèmes!$G$65:$G$148),IF($A80=INT($B$8+$B$4),(LOOKUP($A80,Retraite!$A$7:$A$47,Retraite!$P$7:$P$47)/LOOKUP($A80,Barèmes!$A$65:$A$148,Barèmes!$G$65:$G$148))*(1-(INT($B$8)+1-$B$8)),0)))</f>
        <v>9997.7150484453996</v>
      </c>
      <c r="H80" s="131">
        <f ca="1">IF($A80&lt;$B$5+$B$4,-(LOOKUP($A80,Cot_droits!$A$17:$A$68,Cot_droits!$I$17:$I$68)+LOOKUP($A80,Cot_droits!$A$17:$A$68,Cot_droits!$J$17:$J$68)+LOOKUP($A80,Cot_droits!$A$17:$A$68,Cot_droits!$N$17:$N$68))/LOOKUP($A80,Barèmes!$A$65:$A$148,Barèmes!$G$65:$G$148),IF(AND($A80&gt;=$B$5+$B$4,$A80&lt;=INT($B$8)-1+$B$4),LOOKUP($A80,Retraite!$A$7:$A$47,Retraite!$M$7:$M$47)/LOOKUP($A80,Barèmes!$A$65:$A$148,Barèmes!$G$65:$G$148),IF($A80=INT($B$8+$B$4),(LOOKUP($A80,Retraite!$A$7:$A$47,Retraite!$M$7:$M$47)/LOOKUP($A80,Barèmes!$A$65:$A$148,Barèmes!$G$65:$G$148))*(1-(INT($B$8)+1-$B$8)),0)))</f>
        <v>3345.335994026706</v>
      </c>
      <c r="I80" s="121">
        <f ca="1">IF($A80&lt;$B$5+$B$4,-(LOOKUP($A80,Cot_droits!$A$17:$A$68,Cot_droits!$I$17:$I$68)+LOOKUP($A80,Cot_droits!$A$17:$A$68,Cot_droits!$J$17:$J$68)+LOOKUP($A80,Cot_droits!$A$17:$A$68,Cot_droits!$N$17:$N$68))/LOOKUP($A80,Barèmes!$A$65:$A$148,Barèmes!$G$65:$G$148),IF(AND($A80&gt;=$B$5+$B$4,$A80&lt;=INT($B$8)-1+$B$4),LOOKUP($A80,Retraite!$A$7:$A$47,Retraite!$Q$7:Q$47)/LOOKUP($A80,Barèmes!$A$65:$A$148,Barèmes!$G$65:$G$148),IF($A80=INT($B$8+$B$4),(LOOKUP($A80,Retraite!$A$7:$A$47,Retraite!$Q$7:$Q$47)/LOOKUP($A80,Barèmes!$A$65:$A$148,Barèmes!$G$65:$G$148))*(1-(INT($B$8)+1-$B$8)),0)))</f>
        <v>3007.4570586300088</v>
      </c>
      <c r="J80" s="115"/>
    </row>
    <row r="81" spans="1:10" s="43" customFormat="1" ht="15.75" customHeight="1" x14ac:dyDescent="0.25">
      <c r="A81" s="125">
        <f t="shared" si="1"/>
        <v>2086</v>
      </c>
      <c r="B81" s="131">
        <f ca="1">IF($A81&lt;$B$5+$B$4,-LOOKUP($A81,Cot_droits!$A$17:$A$68,Cot_droits!$Q$17:$Q$68)/LOOKUP($A81,Barèmes!$A$65:$A$148,Barèmes!$G$65:$G$148),IF(AND($A81&gt;=$B$5+$B$4,$A81&lt;=INT($B$8)+$B$4-1),LOOKUP($A81,Retraite!$A$7:$A$47,Retraite!$K$7:$K$47)/LOOKUP($A81,Barèmes!$A$65:$A$148,Barèmes!$G$65:$G$148),IF($A81=INT($B$8+$B$4),(LOOKUP($A81,Retraite!$A$7:$A$47,Retraite!$K$7:$K$47)/LOOKUP($A81,Barèmes!$A$65:$A$148,Barèmes!$G$65:$G$148))*(1-(INT($B$8+1)-$B$8)),0)))</f>
        <v>14165.126653157482</v>
      </c>
      <c r="C81" s="121">
        <f ca="1">IF($A81&lt;$B$5+$B$4,-LOOKUP($A81,Cot_droits!$A$17:$A$68,Cot_droits!$Q$17:$Q$68)/LOOKUP($A81,Barèmes!$A$65:$A$148,Barèmes!$G$65:$G$148),IF(AND($A81&gt;=$B$5+$B$4,$A81&lt;=INT($B$8)-1+$B$4),LOOKUP($A81,Retraite!$A$7:$A$47,Retraite!N$7:$N$47)/LOOKUP($A81,Barèmes!$A$65:$A$148,Barèmes!$G$65:$G$148),IF($A81=INT($B$8+$B$4),(LOOKUP($A81,Retraite!$A$7:$A$47,Retraite!$N$7:$N$47)/LOOKUP($A81,Barèmes!$A$65:$A$148,Barèmes!$G$65:$G$148))*(1-(INT($B$8)+1-$B$8)),0)))</f>
        <v>12843.023258147425</v>
      </c>
      <c r="D81" s="115"/>
      <c r="E81" s="131">
        <f>IF($A81&lt;$B$5+$B$4,-(LOOKUP($A81,Cot_droits!$A$17:$A$68,Cot_droits!$H$17:$H$68)+LOOKUP($A81,Cot_droits!$A$17:$A$68,Cot_droits!$L$17:$L$68))/LOOKUP($A81,Barèmes!$A$65:$A$148,Barèmes!$G$65:$G$148),IF(AND($A81&gt;=$B$5+$B$4,$A81&lt;=INT($B$8)-1+$B$4),LOOKUP($A81,Retraite!$A$7:$A$47,Retraite!$L$7:$L$47)/LOOKUP($A81,Barèmes!$A$65:$A$148,Barèmes!$G$65:$G$148),IF($A81=INT($B$8+$B$4),(LOOKUP($A81,Retraite!$A$7:$A$47,Retraite!$L$7:$L$47)/LOOKUP($A81,Barèmes!$A$65:$A$148,Barèmes!$G$65:$G$148))*(1-(INT($B$8)+1-$B$8)),0)))</f>
        <v>10857.439695884632</v>
      </c>
      <c r="F81" s="121">
        <f ca="1">IF($A81&lt;$B$5+$B$4,-(LOOKUP($A81,Cot_droits!$A$17:$A$68,Cot_droits!$H$17:$H$68)+LOOKUP($A81,Cot_droits!$A$17:$A$68,Cot_droits!$L$17:$L$68))/LOOKUP($A81,Barèmes!$A$65:$A$148,Barèmes!$G$65:$G$148),IF(AND($A81&gt;=$B$5+$B$4,$A81&lt;=INT($B$8)-1+$B$4),LOOKUP($A81,Retraite!$A$7:$A$47,Retraite!$P$7:P$47)/LOOKUP($A81,Barèmes!$A$65:$A$148,Barèmes!$G$65:$G$148),IF($A81=INT($B$8+$B$4),(LOOKUP($A81,Retraite!$A$7:$A$47,Retraite!$P$7:$P$47)/LOOKUP($A81,Barèmes!$A$65:$A$148,Barèmes!$G$65:$G$148))*(1-(INT($B$8)+1-$B$8)),0)))</f>
        <v>9869.4126835591323</v>
      </c>
      <c r="H81" s="131">
        <f ca="1">IF($A81&lt;$B$5+$B$4,-(LOOKUP($A81,Cot_droits!$A$17:$A$68,Cot_droits!$I$17:$I$68)+LOOKUP($A81,Cot_droits!$A$17:$A$68,Cot_droits!$J$17:$J$68)+LOOKUP($A81,Cot_droits!$A$17:$A$68,Cot_droits!$N$17:$N$68))/LOOKUP($A81,Barèmes!$A$65:$A$148,Barèmes!$G$65:$G$148),IF(AND($A81&gt;=$B$5+$B$4,$A81&lt;=INT($B$8)-1+$B$4),LOOKUP($A81,Retraite!$A$7:$A$47,Retraite!$M$7:$M$47)/LOOKUP($A81,Barèmes!$A$65:$A$148,Barèmes!$G$65:$G$148),IF($A81=INT($B$8+$B$4),(LOOKUP($A81,Retraite!$A$7:$A$47,Retraite!$M$7:$M$47)/LOOKUP($A81,Barèmes!$A$65:$A$148,Barèmes!$G$65:$G$148))*(1-(INT($B$8)+1-$B$8)),0)))</f>
        <v>3307.6869572728501</v>
      </c>
      <c r="I81" s="121">
        <f ca="1">IF($A81&lt;$B$5+$B$4,-(LOOKUP($A81,Cot_droits!$A$17:$A$68,Cot_droits!$I$17:$I$68)+LOOKUP($A81,Cot_droits!$A$17:$A$68,Cot_droits!$J$17:$J$68)+LOOKUP($A81,Cot_droits!$A$17:$A$68,Cot_droits!$N$17:$N$68))/LOOKUP($A81,Barèmes!$A$65:$A$148,Barèmes!$G$65:$G$148),IF(AND($A81&gt;=$B$5+$B$4,$A81&lt;=INT($B$8)-1+$B$4),LOOKUP($A81,Retraite!$A$7:$A$47,Retraite!$Q$7:Q$47)/LOOKUP($A81,Barèmes!$A$65:$A$148,Barèmes!$G$65:$G$148),IF($A81=INT($B$8+$B$4),(LOOKUP($A81,Retraite!$A$7:$A$47,Retraite!$Q$7:$Q$47)/LOOKUP($A81,Barèmes!$A$65:$A$148,Barèmes!$G$65:$G$148))*(1-(INT($B$8)+1-$B$8)),0)))</f>
        <v>2973.6105745882924</v>
      </c>
      <c r="J81" s="115"/>
    </row>
    <row r="82" spans="1:10" s="43" customFormat="1" ht="15.75" customHeight="1" x14ac:dyDescent="0.25">
      <c r="A82" s="125">
        <f t="shared" si="1"/>
        <v>2087</v>
      </c>
      <c r="B82" s="131">
        <f ca="1">IF($A82&lt;$B$5+$B$4,-LOOKUP($A82,Cot_droits!$A$17:$A$68,Cot_droits!$Q$17:$Q$68)/LOOKUP($A82,Barèmes!$A$65:$A$148,Barèmes!$G$65:$G$148),IF(AND($A82&gt;=$B$5+$B$4,$A82&lt;=INT($B$8)+$B$4-1),LOOKUP($A82,Retraite!$A$7:$A$47,Retraite!$K$7:$K$47)/LOOKUP($A82,Barèmes!$A$65:$A$148,Barèmes!$G$65:$G$148),IF($A82=INT($B$8+$B$4),(LOOKUP($A82,Retraite!$A$7:$A$47,Retraite!$K$7:$K$47)/LOOKUP($A82,Barèmes!$A$65:$A$148,Barèmes!$G$65:$G$148))*(1-(INT($B$8+1)-$B$8)),0)))</f>
        <v>13988.565969289359</v>
      </c>
      <c r="C82" s="121">
        <f ca="1">IF($A82&lt;$B$5+$B$4,-LOOKUP($A82,Cot_droits!$A$17:$A$68,Cot_droits!$Q$17:$Q$68)/LOOKUP($A82,Barèmes!$A$65:$A$148,Barèmes!$G$65:$G$148),IF(AND($A82&gt;=$B$5+$B$4,$A82&lt;=INT($B$8)-1+$B$4),LOOKUP($A82,Retraite!$A$7:$A$47,Retraite!N$7:$N$47)/LOOKUP($A82,Barèmes!$A$65:$A$148,Barèmes!$G$65:$G$148),IF($A82=INT($B$8+$B$4),(LOOKUP($A82,Retraite!$A$7:$A$47,Retraite!$N$7:$N$47)/LOOKUP($A82,Barèmes!$A$65:$A$148,Barèmes!$G$65:$G$148))*(1-(INT($B$8)+1-$B$8)),0)))</f>
        <v>12682.901849785849</v>
      </c>
      <c r="D82" s="115"/>
      <c r="E82" s="131">
        <f>IF($A82&lt;$B$5+$B$4,-(LOOKUP($A82,Cot_droits!$A$17:$A$68,Cot_droits!$H$17:$H$68)+LOOKUP($A82,Cot_droits!$A$17:$A$68,Cot_droits!$L$17:$L$68))/LOOKUP($A82,Barèmes!$A$65:$A$148,Barèmes!$G$65:$G$148),IF(AND($A82&gt;=$B$5+$B$4,$A82&lt;=INT($B$8)-1+$B$4),LOOKUP($A82,Retraite!$A$7:$A$47,Retraite!$L$7:$L$47)/LOOKUP($A82,Barèmes!$A$65:$A$148,Barèmes!$G$65:$G$148),IF($A82=INT($B$8+$B$4),(LOOKUP($A82,Retraite!$A$7:$A$47,Retraite!$L$7:$L$47)/LOOKUP($A82,Barèmes!$A$65:$A$148,Barèmes!$G$65:$G$148))*(1-(INT($B$8)+1-$B$8)),0)))</f>
        <v>10718.104339471502</v>
      </c>
      <c r="F82" s="121">
        <f ca="1">IF($A82&lt;$B$5+$B$4,-(LOOKUP($A82,Cot_droits!$A$17:$A$68,Cot_droits!$H$17:$H$68)+LOOKUP($A82,Cot_droits!$A$17:$A$68,Cot_droits!$L$17:$L$68))/LOOKUP($A82,Barèmes!$A$65:$A$148,Barèmes!$G$65:$G$148),IF(AND($A82&gt;=$B$5+$B$4,$A82&lt;=INT($B$8)-1+$B$4),LOOKUP($A82,Retraite!$A$7:$A$47,Retraite!$P$7:P$47)/LOOKUP($A82,Barèmes!$A$65:$A$148,Barèmes!$G$65:$G$148),IF($A82=INT($B$8+$B$4),(LOOKUP($A82,Retraite!$A$7:$A$47,Retraite!$P$7:$P$47)/LOOKUP($A82,Barèmes!$A$65:$A$148,Barèmes!$G$65:$G$148))*(1-(INT($B$8)+1-$B$8)),0)))</f>
        <v>9742.7568445795951</v>
      </c>
      <c r="H82" s="131">
        <f ca="1">IF($A82&lt;$B$5+$B$4,-(LOOKUP($A82,Cot_droits!$A$17:$A$68,Cot_droits!$I$17:$I$68)+LOOKUP($A82,Cot_droits!$A$17:$A$68,Cot_droits!$J$17:$J$68)+LOOKUP($A82,Cot_droits!$A$17:$A$68,Cot_droits!$N$17:$N$68))/LOOKUP($A82,Barèmes!$A$65:$A$148,Barèmes!$G$65:$G$148),IF(AND($A82&gt;=$B$5+$B$4,$A82&lt;=INT($B$8)-1+$B$4),LOOKUP($A82,Retraite!$A$7:$A$47,Retraite!$M$7:$M$47)/LOOKUP($A82,Barèmes!$A$65:$A$148,Barèmes!$G$65:$G$148),IF($A82=INT($B$8+$B$4),(LOOKUP($A82,Retraite!$A$7:$A$47,Retraite!$M$7:$M$47)/LOOKUP($A82,Barèmes!$A$65:$A$148,Barèmes!$G$65:$G$148))*(1-(INT($B$8)+1-$B$8)),0)))</f>
        <v>3270.4616298178576</v>
      </c>
      <c r="I82" s="121">
        <f ca="1">IF($A82&lt;$B$5+$B$4,-(LOOKUP($A82,Cot_droits!$A$17:$A$68,Cot_droits!$I$17:$I$68)+LOOKUP($A82,Cot_droits!$A$17:$A$68,Cot_droits!$J$17:$J$68)+LOOKUP($A82,Cot_droits!$A$17:$A$68,Cot_droits!$N$17:$N$68))/LOOKUP($A82,Barèmes!$A$65:$A$148,Barèmes!$G$65:$G$148),IF(AND($A82&gt;=$B$5+$B$4,$A82&lt;=INT($B$8)-1+$B$4),LOOKUP($A82,Retraite!$A$7:$A$47,Retraite!$Q$7:Q$47)/LOOKUP($A82,Barèmes!$A$65:$A$148,Barèmes!$G$65:$G$148),IF($A82=INT($B$8+$B$4),(LOOKUP($A82,Retraite!$A$7:$A$47,Retraite!$Q$7:$Q$47)/LOOKUP($A82,Barèmes!$A$65:$A$148,Barèmes!$G$65:$G$148))*(1-(INT($B$8)+1-$B$8)),0)))</f>
        <v>2940.1450052062542</v>
      </c>
      <c r="J82" s="115"/>
    </row>
    <row r="83" spans="1:10" s="43" customFormat="1" ht="15.75" customHeight="1" x14ac:dyDescent="0.25">
      <c r="A83" s="125">
        <f t="shared" si="1"/>
        <v>2088</v>
      </c>
      <c r="B83" s="131">
        <f ca="1">IF($A83&lt;$B$5+$B$4,-LOOKUP($A83,Cot_droits!$A$17:$A$68,Cot_droits!$Q$17:$Q$68)/LOOKUP($A83,Barèmes!$A$65:$A$148,Barèmes!$G$65:$G$148),IF(AND($A83&gt;=$B$5+$B$4,$A83&lt;=INT($B$8)+$B$4-1),LOOKUP($A83,Retraite!$A$7:$A$47,Retraite!$K$7:$K$47)/LOOKUP($A83,Barèmes!$A$65:$A$148,Barèmes!$G$65:$G$148),IF($A83=INT($B$8+$B$4),(LOOKUP($A83,Retraite!$A$7:$A$47,Retraite!$K$7:$K$47)/LOOKUP($A83,Barèmes!$A$65:$A$148,Barèmes!$G$65:$G$148))*(1-(INT($B$8+1)-$B$8)),0)))</f>
        <v>13814.212340365861</v>
      </c>
      <c r="C83" s="121">
        <f ca="1">IF($A83&lt;$B$5+$B$4,-LOOKUP($A83,Cot_droits!$A$17:$A$68,Cot_droits!$Q$17:$Q$68)/LOOKUP($A83,Barèmes!$A$65:$A$148,Barèmes!$G$65:$G$148),IF(AND($A83&gt;=$B$5+$B$4,$A83&lt;=INT($B$8)-1+$B$4),LOOKUP($A83,Retraite!$A$7:$A$47,Retraite!N$7:$N$47)/LOOKUP($A83,Barèmes!$A$65:$A$148,Barèmes!$G$65:$G$148),IF($A83=INT($B$8+$B$4),(LOOKUP($A83,Retraite!$A$7:$A$47,Retraite!$N$7:$N$47)/LOOKUP($A83,Barèmes!$A$65:$A$148,Barèmes!$G$65:$G$148))*(1-(INT($B$8)+1-$B$8)),0)))</f>
        <v>12524.782464960987</v>
      </c>
      <c r="D83" s="115"/>
      <c r="E83" s="131">
        <f>IF($A83&lt;$B$5+$B$4,-(LOOKUP($A83,Cot_droits!$A$17:$A$68,Cot_droits!$H$17:$H$68)+LOOKUP($A83,Cot_droits!$A$17:$A$68,Cot_droits!$L$17:$L$68))/LOOKUP($A83,Barèmes!$A$65:$A$148,Barèmes!$G$65:$G$148),IF(AND($A83&gt;=$B$5+$B$4,$A83&lt;=INT($B$8)-1+$B$4),LOOKUP($A83,Retraite!$A$7:$A$47,Retraite!$L$7:$L$47)/LOOKUP($A83,Barèmes!$A$65:$A$148,Barèmes!$G$65:$G$148),IF($A83=INT($B$8+$B$4),(LOOKUP($A83,Retraite!$A$7:$A$47,Retraite!$L$7:$L$47)/LOOKUP($A83,Barèmes!$A$65:$A$148,Barèmes!$G$65:$G$148))*(1-(INT($B$8)+1-$B$8)),0)))</f>
        <v>10580.557097207802</v>
      </c>
      <c r="F83" s="121">
        <f ca="1">IF($A83&lt;$B$5+$B$4,-(LOOKUP($A83,Cot_droits!$A$17:$A$68,Cot_droits!$H$17:$H$68)+LOOKUP($A83,Cot_droits!$A$17:$A$68,Cot_droits!$L$17:$L$68))/LOOKUP($A83,Barèmes!$A$65:$A$148,Barèmes!$G$65:$G$148),IF(AND($A83&gt;=$B$5+$B$4,$A83&lt;=INT($B$8)-1+$B$4),LOOKUP($A83,Retraite!$A$7:$A$47,Retraite!$P$7:P$47)/LOOKUP($A83,Barèmes!$A$65:$A$148,Barèmes!$G$65:$G$148),IF($A83=INT($B$8+$B$4),(LOOKUP($A83,Retraite!$A$7:$A$47,Retraite!$P$7:$P$47)/LOOKUP($A83,Barèmes!$A$65:$A$148,Barèmes!$G$65:$G$148))*(1-(INT($B$8)+1-$B$8)),0)))</f>
        <v>9617.7264013618915</v>
      </c>
      <c r="H83" s="131">
        <f ca="1">IF($A83&lt;$B$5+$B$4,-(LOOKUP($A83,Cot_droits!$A$17:$A$68,Cot_droits!$I$17:$I$68)+LOOKUP($A83,Cot_droits!$A$17:$A$68,Cot_droits!$J$17:$J$68)+LOOKUP($A83,Cot_droits!$A$17:$A$68,Cot_droits!$N$17:$N$68))/LOOKUP($A83,Barèmes!$A$65:$A$148,Barèmes!$G$65:$G$148),IF(AND($A83&gt;=$B$5+$B$4,$A83&lt;=INT($B$8)-1+$B$4),LOOKUP($A83,Retraite!$A$7:$A$47,Retraite!$M$7:$M$47)/LOOKUP($A83,Barèmes!$A$65:$A$148,Barèmes!$G$65:$G$148),IF($A83=INT($B$8+$B$4),(LOOKUP($A83,Retraite!$A$7:$A$47,Retraite!$M$7:$M$47)/LOOKUP($A83,Barèmes!$A$65:$A$148,Barèmes!$G$65:$G$148))*(1-(INT($B$8)+1-$B$8)),0)))</f>
        <v>3233.6552431580594</v>
      </c>
      <c r="I83" s="121">
        <f ca="1">IF($A83&lt;$B$5+$B$4,-(LOOKUP($A83,Cot_droits!$A$17:$A$68,Cot_droits!$I$17:$I$68)+LOOKUP($A83,Cot_droits!$A$17:$A$68,Cot_droits!$J$17:$J$68)+LOOKUP($A83,Cot_droits!$A$17:$A$68,Cot_droits!$N$17:$N$68))/LOOKUP($A83,Barèmes!$A$65:$A$148,Barèmes!$G$65:$G$148),IF(AND($A83&gt;=$B$5+$B$4,$A83&lt;=INT($B$8)-1+$B$4),LOOKUP($A83,Retraite!$A$7:$A$47,Retraite!$Q$7:Q$47)/LOOKUP($A83,Barèmes!$A$65:$A$148,Barèmes!$G$65:$G$148),IF($A83=INT($B$8+$B$4),(LOOKUP($A83,Retraite!$A$7:$A$47,Retraite!$Q$7:$Q$47)/LOOKUP($A83,Barèmes!$A$65:$A$148,Barèmes!$G$65:$G$148))*(1-(INT($B$8)+1-$B$8)),0)))</f>
        <v>2907.0560635990955</v>
      </c>
      <c r="J83" s="115"/>
    </row>
    <row r="84" spans="1:10" s="43" customFormat="1" ht="15.75" customHeight="1" x14ac:dyDescent="0.25">
      <c r="A84" s="125">
        <f t="shared" si="1"/>
        <v>2089</v>
      </c>
      <c r="B84" s="131">
        <f ca="1">IF($A84&lt;$B$5+$B$4,-LOOKUP($A84,Cot_droits!$A$17:$A$68,Cot_droits!$Q$17:$Q$68)/LOOKUP($A84,Barèmes!$A$65:$A$148,Barèmes!$G$65:$G$148),IF(AND($A84&gt;=$B$5+$B$4,$A84&lt;=INT($B$8)+$B$4-1),LOOKUP($A84,Retraite!$A$7:$A$47,Retraite!$K$7:$K$47)/LOOKUP($A84,Barèmes!$A$65:$A$148,Barèmes!$G$65:$G$148),IF($A84=INT($B$8+$B$4),(LOOKUP($A84,Retraite!$A$7:$A$47,Retraite!$K$7:$K$47)/LOOKUP($A84,Barèmes!$A$65:$A$148,Barèmes!$G$65:$G$148))*(1-(INT($B$8+1)-$B$8)),0)))</f>
        <v>13642.038104378222</v>
      </c>
      <c r="C84" s="121">
        <f ca="1">IF($A84&lt;$B$5+$B$4,-LOOKUP($A84,Cot_droits!$A$17:$A$68,Cot_droits!$Q$17:$Q$68)/LOOKUP($A84,Barèmes!$A$65:$A$148,Barèmes!$G$65:$G$148),IF(AND($A84&gt;=$B$5+$B$4,$A84&lt;=INT($B$8)-1+$B$4),LOOKUP($A84,Retraite!$A$7:$A$47,Retraite!N$7:$N$47)/LOOKUP($A84,Barèmes!$A$65:$A$148,Barèmes!$G$65:$G$148),IF($A84=INT($B$8+$B$4),(LOOKUP($A84,Retraite!$A$7:$A$47,Retraite!$N$7:$N$47)/LOOKUP($A84,Barèmes!$A$65:$A$148,Barèmes!$G$65:$G$148))*(1-(INT($B$8)+1-$B$8)),0)))</f>
        <v>12368.640006055251</v>
      </c>
      <c r="D84" s="115"/>
      <c r="E84" s="131">
        <f>IF($A84&lt;$B$5+$B$4,-(LOOKUP($A84,Cot_droits!$A$17:$A$68,Cot_droits!$H$17:$H$68)+LOOKUP($A84,Cot_droits!$A$17:$A$68,Cot_droits!$L$17:$L$68))/LOOKUP($A84,Barèmes!$A$65:$A$148,Barèmes!$G$65:$G$148),IF(AND($A84&gt;=$B$5+$B$4,$A84&lt;=INT($B$8)-1+$B$4),LOOKUP($A84,Retraite!$A$7:$A$47,Retraite!$L$7:$L$47)/LOOKUP($A84,Barèmes!$A$65:$A$148,Barèmes!$G$65:$G$148),IF($A84=INT($B$8+$B$4),(LOOKUP($A84,Retraite!$A$7:$A$47,Retraite!$L$7:$L$47)/LOOKUP($A84,Barèmes!$A$65:$A$148,Barèmes!$G$65:$G$148))*(1-(INT($B$8)+1-$B$8)),0)))</f>
        <v>10444.775021922807</v>
      </c>
      <c r="F84" s="121">
        <f ca="1">IF($A84&lt;$B$5+$B$4,-(LOOKUP($A84,Cot_droits!$A$17:$A$68,Cot_droits!$H$17:$H$68)+LOOKUP($A84,Cot_droits!$A$17:$A$68,Cot_droits!$L$17:$L$68))/LOOKUP($A84,Barèmes!$A$65:$A$148,Barèmes!$G$65:$G$148),IF(AND($A84&gt;=$B$5+$B$4,$A84&lt;=INT($B$8)-1+$B$4),LOOKUP($A84,Retraite!$A$7:$A$47,Retraite!$P$7:P$47)/LOOKUP($A84,Barèmes!$A$65:$A$148,Barèmes!$G$65:$G$148),IF($A84=INT($B$8+$B$4),(LOOKUP($A84,Retraite!$A$7:$A$47,Retraite!$P$7:$P$47)/LOOKUP($A84,Barèmes!$A$65:$A$148,Barèmes!$G$65:$G$148))*(1-(INT($B$8)+1-$B$8)),0)))</f>
        <v>9494.3004949278329</v>
      </c>
      <c r="H84" s="131">
        <f ca="1">IF($A84&lt;$B$5+$B$4,-(LOOKUP($A84,Cot_droits!$A$17:$A$68,Cot_droits!$I$17:$I$68)+LOOKUP($A84,Cot_droits!$A$17:$A$68,Cot_droits!$J$17:$J$68)+LOOKUP($A84,Cot_droits!$A$17:$A$68,Cot_droits!$N$17:$N$68))/LOOKUP($A84,Barèmes!$A$65:$A$148,Barèmes!$G$65:$G$148),IF(AND($A84&gt;=$B$5+$B$4,$A84&lt;=INT($B$8)-1+$B$4),LOOKUP($A84,Retraite!$A$7:$A$47,Retraite!$M$7:$M$47)/LOOKUP($A84,Barèmes!$A$65:$A$148,Barèmes!$G$65:$G$148),IF($A84=INT($B$8+$B$4),(LOOKUP($A84,Retraite!$A$7:$A$47,Retraite!$M$7:$M$47)/LOOKUP($A84,Barèmes!$A$65:$A$148,Barèmes!$G$65:$G$148))*(1-(INT($B$8)+1-$B$8)),0)))</f>
        <v>3197.2630824554162</v>
      </c>
      <c r="I84" s="121">
        <f ca="1">IF($A84&lt;$B$5+$B$4,-(LOOKUP($A84,Cot_droits!$A$17:$A$68,Cot_droits!$I$17:$I$68)+LOOKUP($A84,Cot_droits!$A$17:$A$68,Cot_droits!$J$17:$J$68)+LOOKUP($A84,Cot_droits!$A$17:$A$68,Cot_droits!$N$17:$N$68))/LOOKUP($A84,Barèmes!$A$65:$A$148,Barèmes!$G$65:$G$148),IF(AND($A84&gt;=$B$5+$B$4,$A84&lt;=INT($B$8)-1+$B$4),LOOKUP($A84,Retraite!$A$7:$A$47,Retraite!$Q$7:Q$47)/LOOKUP($A84,Barèmes!$A$65:$A$148,Barèmes!$G$65:$G$148),IF($A84=INT($B$8+$B$4),(LOOKUP($A84,Retraite!$A$7:$A$47,Retraite!$Q$7:$Q$47)/LOOKUP($A84,Barèmes!$A$65:$A$148,Barèmes!$G$65:$G$148))*(1-(INT($B$8)+1-$B$8)),0)))</f>
        <v>2874.339511127419</v>
      </c>
      <c r="J84" s="115"/>
    </row>
    <row r="85" spans="1:10" s="43" customFormat="1" ht="15.75" customHeight="1" x14ac:dyDescent="0.25">
      <c r="A85" s="125">
        <f t="shared" si="1"/>
        <v>2090</v>
      </c>
      <c r="B85" s="131">
        <f ca="1">IF($A85&lt;$B$5+$B$4,-LOOKUP($A85,Cot_droits!$A$17:$A$68,Cot_droits!$Q$17:$Q$68)/LOOKUP($A85,Barèmes!$A$65:$A$148,Barèmes!$G$65:$G$148),IF(AND($A85&gt;=$B$5+$B$4,$A85&lt;=INT($B$8)+$B$4-1),LOOKUP($A85,Retraite!$A$7:$A$47,Retraite!$K$7:$K$47)/LOOKUP($A85,Barèmes!$A$65:$A$148,Barèmes!$G$65:$G$148),IF($A85=INT($B$8+$B$4),(LOOKUP($A85,Retraite!$A$7:$A$47,Retraite!$K$7:$K$47)/LOOKUP($A85,Barèmes!$A$65:$A$148,Barèmes!$G$65:$G$148))*(1-(INT($B$8+1)-$B$8)),0)))</f>
        <v>13472.015946864267</v>
      </c>
      <c r="C85" s="121">
        <f ca="1">IF($A85&lt;$B$5+$B$4,-LOOKUP($A85,Cot_droits!$A$17:$A$68,Cot_droits!$Q$17:$Q$68)/LOOKUP($A85,Barèmes!$A$65:$A$148,Barèmes!$G$65:$G$148),IF(AND($A85&gt;=$B$5+$B$4,$A85&lt;=INT($B$8)-1+$B$4),LOOKUP($A85,Retraite!$A$7:$A$47,Retraite!N$7:$N$47)/LOOKUP($A85,Barèmes!$A$65:$A$148,Barèmes!$G$65:$G$148),IF($A85=INT($B$8+$B$4),(LOOKUP($A85,Retraite!$A$7:$A$47,Retraite!$N$7:$N$47)/LOOKUP($A85,Barèmes!$A$65:$A$148,Barèmes!$G$65:$G$148))*(1-(INT($B$8)+1-$B$8)),0)))</f>
        <v>12214.449690840285</v>
      </c>
      <c r="D85" s="115"/>
      <c r="E85" s="131">
        <f>IF($A85&lt;$B$5+$B$4,-(LOOKUP($A85,Cot_droits!$A$17:$A$68,Cot_droits!$H$17:$H$68)+LOOKUP($A85,Cot_droits!$A$17:$A$68,Cot_droits!$L$17:$L$68))/LOOKUP($A85,Barèmes!$A$65:$A$148,Barèmes!$G$65:$G$148),IF(AND($A85&gt;=$B$5+$B$4,$A85&lt;=INT($B$8)-1+$B$4),LOOKUP($A85,Retraite!$A$7:$A$47,Retraite!$L$7:$L$47)/LOOKUP($A85,Barèmes!$A$65:$A$148,Barèmes!$G$65:$G$148),IF($A85=INT($B$8+$B$4),(LOOKUP($A85,Retraite!$A$7:$A$47,Retraite!$L$7:$L$47)/LOOKUP($A85,Barèmes!$A$65:$A$148,Barèmes!$G$65:$G$148))*(1-(INT($B$8)+1-$B$8)),0)))</f>
        <v>10310.735460930709</v>
      </c>
      <c r="F85" s="121">
        <f ca="1">IF($A85&lt;$B$5+$B$4,-(LOOKUP($A85,Cot_droits!$A$17:$A$68,Cot_droits!$H$17:$H$68)+LOOKUP($A85,Cot_droits!$A$17:$A$68,Cot_droits!$L$17:$L$68))/LOOKUP($A85,Barèmes!$A$65:$A$148,Barèmes!$G$65:$G$148),IF(AND($A85&gt;=$B$5+$B$4,$A85&lt;=INT($B$8)-1+$B$4),LOOKUP($A85,Retraite!$A$7:$A$47,Retraite!$P$7:P$47)/LOOKUP($A85,Barèmes!$A$65:$A$148,Barèmes!$G$65:$G$148),IF($A85=INT($B$8+$B$4),(LOOKUP($A85,Retraite!$A$7:$A$47,Retraite!$P$7:$P$47)/LOOKUP($A85,Barèmes!$A$65:$A$148,Barèmes!$G$65:$G$148))*(1-(INT($B$8)+1-$B$8)),0)))</f>
        <v>9372.458533986015</v>
      </c>
      <c r="H85" s="131">
        <f ca="1">IF($A85&lt;$B$5+$B$4,-(LOOKUP($A85,Cot_droits!$A$17:$A$68,Cot_droits!$I$17:$I$68)+LOOKUP($A85,Cot_droits!$A$17:$A$68,Cot_droits!$J$17:$J$68)+LOOKUP($A85,Cot_droits!$A$17:$A$68,Cot_droits!$N$17:$N$68))/LOOKUP($A85,Barèmes!$A$65:$A$148,Barèmes!$G$65:$G$148),IF(AND($A85&gt;=$B$5+$B$4,$A85&lt;=INT($B$8)-1+$B$4),LOOKUP($A85,Retraite!$A$7:$A$47,Retraite!$M$7:$M$47)/LOOKUP($A85,Barèmes!$A$65:$A$148,Barèmes!$G$65:$G$148),IF($A85=INT($B$8+$B$4),(LOOKUP($A85,Retraite!$A$7:$A$47,Retraite!$M$7:$M$47)/LOOKUP($A85,Barèmes!$A$65:$A$148,Barèmes!$G$65:$G$148))*(1-(INT($B$8)+1-$B$8)),0)))</f>
        <v>3161.2804859335588</v>
      </c>
      <c r="I85" s="121">
        <f ca="1">IF($A85&lt;$B$5+$B$4,-(LOOKUP($A85,Cot_droits!$A$17:$A$68,Cot_droits!$I$17:$I$68)+LOOKUP($A85,Cot_droits!$A$17:$A$68,Cot_droits!$J$17:$J$68)+LOOKUP($A85,Cot_droits!$A$17:$A$68,Cot_droits!$N$17:$N$68))/LOOKUP($A85,Barèmes!$A$65:$A$148,Barèmes!$G$65:$G$148),IF(AND($A85&gt;=$B$5+$B$4,$A85&lt;=INT($B$8)-1+$B$4),LOOKUP($A85,Retraite!$A$7:$A$47,Retraite!$Q$7:Q$47)/LOOKUP($A85,Barèmes!$A$65:$A$148,Barèmes!$G$65:$G$148),IF($A85=INT($B$8+$B$4),(LOOKUP($A85,Retraite!$A$7:$A$47,Retraite!$Q$7:$Q$47)/LOOKUP($A85,Barèmes!$A$65:$A$148,Barèmes!$G$65:$G$148))*(1-(INT($B$8)+1-$B$8)),0)))</f>
        <v>2841.9911568542693</v>
      </c>
      <c r="J85" s="115"/>
    </row>
    <row r="86" spans="1:10" s="43" customFormat="1" ht="15.75" customHeight="1" x14ac:dyDescent="0.25">
      <c r="A86" s="125">
        <f t="shared" si="1"/>
        <v>2091</v>
      </c>
      <c r="B86" s="131">
        <f ca="1">IF($A86&lt;$B$5+$B$4,-LOOKUP($A86,Cot_droits!$A$17:$A$68,Cot_droits!$Q$17:$Q$68)/LOOKUP($A86,Barèmes!$A$65:$A$148,Barèmes!$G$65:$G$148),IF(AND($A86&gt;=$B$5+$B$4,$A86&lt;=INT($B$8)+$B$4-1),LOOKUP($A86,Retraite!$A$7:$A$47,Retraite!$K$7:$K$47)/LOOKUP($A86,Barèmes!$A$65:$A$148,Barèmes!$G$65:$G$148),IF($A86=INT($B$8+$B$4),(LOOKUP($A86,Retraite!$A$7:$A$47,Retraite!$K$7:$K$47)/LOOKUP($A86,Barèmes!$A$65:$A$148,Barèmes!$G$65:$G$148))*(1-(INT($B$8+1)-$B$8)),0)))</f>
        <v>709.01735805530086</v>
      </c>
      <c r="C86" s="121">
        <f ca="1">IF($A86&lt;$B$5+$B$4,-LOOKUP($A86,Cot_droits!$A$17:$A$68,Cot_droits!$Q$17:$Q$68)/LOOKUP($A86,Barèmes!$A$65:$A$148,Barèmes!$G$65:$G$148),IF(AND($A86&gt;=$B$5+$B$4,$A86&lt;=INT($B$8)-1+$B$4),LOOKUP($A86,Retraite!$A$7:$A$47,Retraite!N$7:$N$47)/LOOKUP($A86,Barèmes!$A$65:$A$148,Barèmes!$G$65:$G$148),IF($A86=INT($B$8+$B$4),(LOOKUP($A86,Retraite!$A$7:$A$47,Retraite!$N$7:$N$47)/LOOKUP($A86,Barèmes!$A$65:$A$148,Barèmes!$G$65:$G$148))*(1-(INT($B$8)+1-$B$8)),0)))</f>
        <v>642.83099542421155</v>
      </c>
      <c r="D86" s="115"/>
      <c r="E86" s="131">
        <f>IF($A86&lt;$B$5+$B$4,-(LOOKUP($A86,Cot_droits!$A$17:$A$68,Cot_droits!$H$17:$H$68)+LOOKUP($A86,Cot_droits!$A$17:$A$68,Cot_droits!$L$17:$L$68))/LOOKUP($A86,Barèmes!$A$65:$A$148,Barèmes!$G$65:$G$148),IF(AND($A86&gt;=$B$5+$B$4,$A86&lt;=INT($B$8)-1+$B$4),LOOKUP($A86,Retraite!$A$7:$A$47,Retraite!$L$7:$L$47)/LOOKUP($A86,Barèmes!$A$65:$A$148,Barèmes!$G$65:$G$148),IF($A86=INT($B$8+$B$4),(LOOKUP($A86,Retraite!$A$7:$A$47,Retraite!$L$7:$L$47)/LOOKUP($A86,Barèmes!$A$65:$A$148,Barèmes!$G$65:$G$148))*(1-(INT($B$8)+1-$B$8)),0)))</f>
        <v>542.43905324960133</v>
      </c>
      <c r="F86" s="121">
        <f ca="1">IF($A86&lt;$B$5+$B$4,-(LOOKUP($A86,Cot_droits!$A$17:$A$68,Cot_droits!$H$17:$H$68)+LOOKUP($A86,Cot_droits!$A$17:$A$68,Cot_droits!$L$17:$L$68))/LOOKUP($A86,Barèmes!$A$65:$A$148,Barèmes!$G$65:$G$148),IF(AND($A86&gt;=$B$5+$B$4,$A86&lt;=INT($B$8)-1+$B$4),LOOKUP($A86,Retraite!$A$7:$A$47,Retraite!$P$7:P$47)/LOOKUP($A86,Barèmes!$A$65:$A$148,Barèmes!$G$65:$G$148),IF($A86=INT($B$8+$B$4),(LOOKUP($A86,Retraite!$A$7:$A$47,Retraite!$P$7:$P$47)/LOOKUP($A86,Barèmes!$A$65:$A$148,Barèmes!$G$65:$G$148))*(1-(INT($B$8)+1-$B$8)),0)))</f>
        <v>493.07709940388759</v>
      </c>
      <c r="H86" s="131">
        <f ca="1">IF($A86&lt;$B$5+$B$4,-(LOOKUP($A86,Cot_droits!$A$17:$A$68,Cot_droits!$I$17:$I$68)+LOOKUP($A86,Cot_droits!$A$17:$A$68,Cot_droits!$J$17:$J$68)+LOOKUP($A86,Cot_droits!$A$17:$A$68,Cot_droits!$N$17:$N$68))/LOOKUP($A86,Barèmes!$A$65:$A$148,Barèmes!$G$65:$G$148),IF(AND($A86&gt;=$B$5+$B$4,$A86&lt;=INT($B$8)-1+$B$4),LOOKUP($A86,Retraite!$A$7:$A$47,Retraite!$M$7:$M$47)/LOOKUP($A86,Barèmes!$A$65:$A$148,Barèmes!$G$65:$G$148),IF($A86=INT($B$8+$B$4),(LOOKUP($A86,Retraite!$A$7:$A$47,Retraite!$M$7:$M$47)/LOOKUP($A86,Barèmes!$A$65:$A$148,Barèmes!$G$65:$G$148))*(1-(INT($B$8)+1-$B$8)),0)))</f>
        <v>166.57830480569959</v>
      </c>
      <c r="I86" s="121">
        <f ca="1">IF($A86&lt;$B$5+$B$4,-(LOOKUP($A86,Cot_droits!$A$17:$A$68,Cot_droits!$I$17:$I$68)+LOOKUP($A86,Cot_droits!$A$17:$A$68,Cot_droits!$J$17:$J$68)+LOOKUP($A86,Cot_droits!$A$17:$A$68,Cot_droits!$N$17:$N$68))/LOOKUP($A86,Barèmes!$A$65:$A$148,Barèmes!$G$65:$G$148),IF(AND($A86&gt;=$B$5+$B$4,$A86&lt;=INT($B$8)-1+$B$4),LOOKUP($A86,Retraite!$A$7:$A$47,Retraite!$Q$7:Q$47)/LOOKUP($A86,Barèmes!$A$65:$A$148,Barèmes!$G$65:$G$148),IF($A86=INT($B$8+$B$4),(LOOKUP($A86,Retraite!$A$7:$A$47,Retraite!$Q$7:$Q$47)/LOOKUP($A86,Barèmes!$A$65:$A$148,Barèmes!$G$65:$G$148))*(1-(INT($B$8)+1-$B$8)),0)))</f>
        <v>149.75389602032394</v>
      </c>
      <c r="J86" s="115"/>
    </row>
    <row r="87" spans="1:10" s="43" customFormat="1" ht="15.75" customHeight="1" x14ac:dyDescent="0.25">
      <c r="A87" s="125">
        <f t="shared" si="1"/>
        <v>2092</v>
      </c>
      <c r="B87" s="131">
        <f>IF($A87&lt;$B$5+$B$4,-LOOKUP($A87,Cot_droits!$A$17:$A$68,Cot_droits!$Q$17:$Q$68)/LOOKUP($A87,Barèmes!$A$65:$A$148,Barèmes!$G$65:$G$148),IF(AND($A87&gt;=$B$5+$B$4,$A87&lt;=INT($B$8)+$B$4-1),LOOKUP($A87,Retraite!$A$7:$A$47,Retraite!$K$7:$K$47)/LOOKUP($A87,Barèmes!$A$65:$A$148,Barèmes!$G$65:$G$148),IF($A87=INT($B$8+$B$4),(LOOKUP($A87,Retraite!$A$7:$A$47,Retraite!$K$7:$K$47)/LOOKUP($A87,Barèmes!$A$65:$A$148,Barèmes!$G$65:$G$148))*(1-(INT($B$8+1)-$B$8)),0)))</f>
        <v>0</v>
      </c>
      <c r="C87" s="121">
        <f>IF($A87&lt;$B$5+$B$4,-LOOKUP($A87,Cot_droits!$A$17:$A$68,Cot_droits!$Q$17:$Q$68)/LOOKUP($A87,Barèmes!$A$65:$A$148,Barèmes!$G$65:$G$148),IF(AND($A87&gt;=$B$5+$B$4,$A87&lt;=INT($B$8)-1+$B$4),LOOKUP($A87,Retraite!$A$7:$A$47,Retraite!N$7:$N$47)/LOOKUP($A87,Barèmes!$A$65:$A$148,Barèmes!$G$65:$G$148),IF($A87=INT($B$8+$B$4),(LOOKUP($A87,Retraite!$A$7:$A$47,Retraite!$N$7:$N$47)/LOOKUP($A87,Barèmes!$A$65:$A$148,Barèmes!$G$65:$G$148))*(1-(INT($B$8)+1-$B$8)),0)))</f>
        <v>0</v>
      </c>
      <c r="D87" s="115"/>
      <c r="E87" s="131">
        <f>IF($A87&lt;$B$5+$B$4,-(LOOKUP($A87,Cot_droits!$A$17:$A$68,Cot_droits!$H$17:$H$68)+LOOKUP($A87,Cot_droits!$A$17:$A$68,Cot_droits!$L$17:$L$68))/LOOKUP($A87,Barèmes!$A$65:$A$148,Barèmes!$G$65:$G$148),IF(AND($A87&gt;=$B$5+$B$4,$A87&lt;=INT($B$8)-1+$B$4),LOOKUP($A87,Retraite!$A$7:$A$47,Retraite!$L$7:$L$47)/LOOKUP($A87,Barèmes!$A$65:$A$148,Barèmes!$G$65:$G$148),IF($A87=INT($B$8+$B$4),(LOOKUP($A87,Retraite!$A$7:$A$47,Retraite!$L$7:$L$47)/LOOKUP($A87,Barèmes!$A$65:$A$148,Barèmes!$G$65:$G$148))*(1-(INT($B$8)+1-$B$8)),0)))</f>
        <v>0</v>
      </c>
      <c r="F87" s="121">
        <f>IF($A87&lt;$B$5+$B$4,-(LOOKUP($A87,Cot_droits!$A$17:$A$68,Cot_droits!$H$17:$H$68)+LOOKUP($A87,Cot_droits!$A$17:$A$68,Cot_droits!$L$17:$L$68))/LOOKUP($A87,Barèmes!$A$65:$A$148,Barèmes!$G$65:$G$148),IF(AND($A87&gt;=$B$5+$B$4,$A87&lt;=INT($B$8)-1+$B$4),LOOKUP($A87,Retraite!$A$7:$A$47,Retraite!$P$7:P$47)/LOOKUP($A87,Barèmes!$A$65:$A$148,Barèmes!$G$65:$G$148),IF($A87=INT($B$8+$B$4),(LOOKUP($A87,Retraite!$A$7:$A$47,Retraite!$P$7:$P$47)/LOOKUP($A87,Barèmes!$A$65:$A$148,Barèmes!$G$65:$G$148))*(1-(INT($B$8)+1-$B$8)),0)))</f>
        <v>0</v>
      </c>
      <c r="H87" s="131">
        <f>IF($A87&lt;$B$5+$B$4,-(LOOKUP($A87,Cot_droits!$A$17:$A$68,Cot_droits!$I$17:$I$68)+LOOKUP($A87,Cot_droits!$A$17:$A$68,Cot_droits!$J$17:$J$68)+LOOKUP($A87,Cot_droits!$A$17:$A$68,Cot_droits!$N$17:$N$68))/LOOKUP($A87,Barèmes!$A$65:$A$148,Barèmes!$G$65:$G$148),IF(AND($A87&gt;=$B$5+$B$4,$A87&lt;=INT($B$8)-1+$B$4),LOOKUP($A87,Retraite!$A$7:$A$47,Retraite!$M$7:$M$47)/LOOKUP($A87,Barèmes!$A$65:$A$148,Barèmes!$G$65:$G$148),IF($A87=INT($B$8+$B$4),(LOOKUP($A87,Retraite!$A$7:$A$47,Retraite!$M$7:$M$47)/LOOKUP($A87,Barèmes!$A$65:$A$148,Barèmes!$G$65:$G$148))*(1-(INT($B$8)+1-$B$8)),0)))</f>
        <v>0</v>
      </c>
      <c r="I87" s="121">
        <f>IF($A87&lt;$B$5+$B$4,-(LOOKUP($A87,Cot_droits!$A$17:$A$68,Cot_droits!$I$17:$I$68)+LOOKUP($A87,Cot_droits!$A$17:$A$68,Cot_droits!$J$17:$J$68)+LOOKUP($A87,Cot_droits!$A$17:$A$68,Cot_droits!$N$17:$N$68))/LOOKUP($A87,Barèmes!$A$65:$A$148,Barèmes!$G$65:$G$148),IF(AND($A87&gt;=$B$5+$B$4,$A87&lt;=INT($B$8)-1+$B$4),LOOKUP($A87,Retraite!$A$7:$A$47,Retraite!$Q$7:Q$47)/LOOKUP($A87,Barèmes!$A$65:$A$148,Barèmes!$G$65:$G$148),IF($A87=INT($B$8+$B$4),(LOOKUP($A87,Retraite!$A$7:$A$47,Retraite!$Q$7:$Q$47)/LOOKUP($A87,Barèmes!$A$65:$A$148,Barèmes!$G$65:$G$148))*(1-(INT($B$8)+1-$B$8)),0)))</f>
        <v>0</v>
      </c>
      <c r="J87" s="115"/>
    </row>
    <row r="88" spans="1:10" s="43" customFormat="1" ht="15.75" customHeight="1" x14ac:dyDescent="0.25">
      <c r="A88" s="125">
        <f t="shared" si="1"/>
        <v>2093</v>
      </c>
      <c r="B88" s="131">
        <f>IF($A88&lt;$B$5+$B$4,-LOOKUP($A88,Cot_droits!$A$17:$A$68,Cot_droits!$Q$17:$Q$68)/LOOKUP($A88,Barèmes!$A$65:$A$148,Barèmes!$G$65:$G$148),IF(AND($A88&gt;=$B$5+$B$4,$A88&lt;=INT($B$8)+$B$4-1),LOOKUP($A88,Retraite!$A$7:$A$47,Retraite!$K$7:$K$47)/LOOKUP($A88,Barèmes!$A$65:$A$148,Barèmes!$G$65:$G$148),IF($A88=INT($B$8+$B$4),(LOOKUP($A88,Retraite!$A$7:$A$47,Retraite!$K$7:$K$47)/LOOKUP($A88,Barèmes!$A$65:$A$148,Barèmes!$G$65:$G$148))*(1-(INT($B$8+1)-$B$8)),0)))</f>
        <v>0</v>
      </c>
      <c r="C88" s="121">
        <f>IF($A88&lt;$B$5+$B$4,-LOOKUP($A88,Cot_droits!$A$17:$A$68,Cot_droits!$Q$17:$Q$68)/LOOKUP($A88,Barèmes!$A$65:$A$148,Barèmes!$G$65:$G$148),IF(AND($A88&gt;=$B$5+$B$4,$A88&lt;=INT($B$8)-1+$B$4),LOOKUP($A88,Retraite!$A$7:$A$47,Retraite!N$7:$N$47)/LOOKUP($A88,Barèmes!$A$65:$A$148,Barèmes!$G$65:$G$148),IF($A88=INT($B$8+$B$4),(LOOKUP($A88,Retraite!$A$7:$A$47,Retraite!$N$7:$N$47)/LOOKUP($A88,Barèmes!$A$65:$A$148,Barèmes!$G$65:$G$148))*(1-(INT($B$8)+1-$B$8)),0)))</f>
        <v>0</v>
      </c>
      <c r="D88" s="115"/>
      <c r="E88" s="131">
        <f>IF($A88&lt;$B$5+$B$4,-(LOOKUP($A88,Cot_droits!$A$17:$A$68,Cot_droits!$H$17:$H$68)+LOOKUP($A88,Cot_droits!$A$17:$A$68,Cot_droits!$L$17:$L$68))/LOOKUP($A88,Barèmes!$A$65:$A$148,Barèmes!$G$65:$G$148),IF(AND($A88&gt;=$B$5+$B$4,$A88&lt;=INT($B$8)-1+$B$4),LOOKUP($A88,Retraite!$A$7:$A$47,Retraite!$L$7:$L$47)/LOOKUP($A88,Barèmes!$A$65:$A$148,Barèmes!$G$65:$G$148),IF($A88=INT($B$8+$B$4),(LOOKUP($A88,Retraite!$A$7:$A$47,Retraite!$L$7:$L$47)/LOOKUP($A88,Barèmes!$A$65:$A$148,Barèmes!$G$65:$G$148))*(1-(INT($B$8)+1-$B$8)),0)))</f>
        <v>0</v>
      </c>
      <c r="F88" s="121">
        <f>IF($A88&lt;$B$5+$B$4,-(LOOKUP($A88,Cot_droits!$A$17:$A$68,Cot_droits!$H$17:$H$68)+LOOKUP($A88,Cot_droits!$A$17:$A$68,Cot_droits!$L$17:$L$68))/LOOKUP($A88,Barèmes!$A$65:$A$148,Barèmes!$G$65:$G$148),IF(AND($A88&gt;=$B$5+$B$4,$A88&lt;=INT($B$8)-1+$B$4),LOOKUP($A88,Retraite!$A$7:$A$47,Retraite!$P$7:P$47)/LOOKUP($A88,Barèmes!$A$65:$A$148,Barèmes!$G$65:$G$148),IF($A88=INT($B$8+$B$4),(LOOKUP($A88,Retraite!$A$7:$A$47,Retraite!$P$7:$P$47)/LOOKUP($A88,Barèmes!$A$65:$A$148,Barèmes!$G$65:$G$148))*(1-(INT($B$8)+1-$B$8)),0)))</f>
        <v>0</v>
      </c>
      <c r="H88" s="131">
        <f>IF($A88&lt;$B$5+$B$4,-(LOOKUP($A88,Cot_droits!$A$17:$A$68,Cot_droits!$I$17:$I$68)+LOOKUP($A88,Cot_droits!$A$17:$A$68,Cot_droits!$J$17:$J$68)+LOOKUP($A88,Cot_droits!$A$17:$A$68,Cot_droits!$N$17:$N$68))/LOOKUP($A88,Barèmes!$A$65:$A$148,Barèmes!$G$65:$G$148),IF(AND($A88&gt;=$B$5+$B$4,$A88&lt;=INT($B$8)-1+$B$4),LOOKUP($A88,Retraite!$A$7:$A$47,Retraite!$M$7:$M$47)/LOOKUP($A88,Barèmes!$A$65:$A$148,Barèmes!$G$65:$G$148),IF($A88=INT($B$8+$B$4),(LOOKUP($A88,Retraite!$A$7:$A$47,Retraite!$M$7:$M$47)/LOOKUP($A88,Barèmes!$A$65:$A$148,Barèmes!$G$65:$G$148))*(1-(INT($B$8)+1-$B$8)),0)))</f>
        <v>0</v>
      </c>
      <c r="I88" s="121">
        <f>IF($A88&lt;$B$5+$B$4,-(LOOKUP($A88,Cot_droits!$A$17:$A$68,Cot_droits!$I$17:$I$68)+LOOKUP($A88,Cot_droits!$A$17:$A$68,Cot_droits!$J$17:$J$68)+LOOKUP($A88,Cot_droits!$A$17:$A$68,Cot_droits!$N$17:$N$68))/LOOKUP($A88,Barèmes!$A$65:$A$148,Barèmes!$G$65:$G$148),IF(AND($A88&gt;=$B$5+$B$4,$A88&lt;=INT($B$8)-1+$B$4),LOOKUP($A88,Retraite!$A$7:$A$47,Retraite!$Q$7:Q$47)/LOOKUP($A88,Barèmes!$A$65:$A$148,Barèmes!$G$65:$G$148),IF($A88=INT($B$8+$B$4),(LOOKUP($A88,Retraite!$A$7:$A$47,Retraite!$Q$7:$Q$47)/LOOKUP($A88,Barèmes!$A$65:$A$148,Barèmes!$G$65:$G$148))*(1-(INT($B$8)+1-$B$8)),0)))</f>
        <v>0</v>
      </c>
      <c r="J88" s="115"/>
    </row>
    <row r="89" spans="1:10" s="43" customFormat="1" ht="15.75" customHeight="1" x14ac:dyDescent="0.25">
      <c r="A89" s="125">
        <f t="shared" si="1"/>
        <v>2094</v>
      </c>
      <c r="B89" s="131">
        <f>IF($A89&lt;$B$5+$B$4,-LOOKUP($A89,Cot_droits!$A$17:$A$68,Cot_droits!$Q$17:$Q$68)/LOOKUP($A89,Barèmes!$A$65:$A$148,Barèmes!$G$65:$G$148),IF(AND($A89&gt;=$B$5+$B$4,$A89&lt;=INT($B$8)+$B$4-1),LOOKUP($A89,Retraite!$A$7:$A$47,Retraite!$K$7:$K$47)/LOOKUP($A89,Barèmes!$A$65:$A$148,Barèmes!$G$65:$G$148),IF($A89=INT($B$8+$B$4),(LOOKUP($A89,Retraite!$A$7:$A$47,Retraite!$K$7:$K$47)/LOOKUP($A89,Barèmes!$A$65:$A$148,Barèmes!$G$65:$G$148))*(1-(INT($B$8+1)-$B$8)),0)))</f>
        <v>0</v>
      </c>
      <c r="C89" s="121">
        <f>IF($A89&lt;$B$5+$B$4,-LOOKUP($A89,Cot_droits!$A$17:$A$68,Cot_droits!$Q$17:$Q$68)/LOOKUP($A89,Barèmes!$A$65:$A$148,Barèmes!$G$65:$G$148),IF(AND($A89&gt;=$B$5+$B$4,$A89&lt;=INT($B$8)-1+$B$4),LOOKUP($A89,Retraite!$A$7:$A$47,Retraite!N$7:$N$47)/LOOKUP($A89,Barèmes!$A$65:$A$148,Barèmes!$G$65:$G$148),IF($A89=INT($B$8+$B$4),(LOOKUP($A89,Retraite!$A$7:$A$47,Retraite!$N$7:$N$47)/LOOKUP($A89,Barèmes!$A$65:$A$148,Barèmes!$G$65:$G$148))*(1-(INT($B$8)+1-$B$8)),0)))</f>
        <v>0</v>
      </c>
      <c r="D89" s="115"/>
      <c r="E89" s="131">
        <f>IF($A89&lt;$B$5+$B$4,-(LOOKUP($A89,Cot_droits!$A$17:$A$68,Cot_droits!$H$17:$H$68)+LOOKUP($A89,Cot_droits!$A$17:$A$68,Cot_droits!$L$17:$L$68))/LOOKUP($A89,Barèmes!$A$65:$A$148,Barèmes!$G$65:$G$148),IF(AND($A89&gt;=$B$5+$B$4,$A89&lt;=INT($B$8)-1+$B$4),LOOKUP($A89,Retraite!$A$7:$A$47,Retraite!$L$7:$L$47)/LOOKUP($A89,Barèmes!$A$65:$A$148,Barèmes!$G$65:$G$148),IF($A89=INT($B$8+$B$4),(LOOKUP($A89,Retraite!$A$7:$A$47,Retraite!$L$7:$L$47)/LOOKUP($A89,Barèmes!$A$65:$A$148,Barèmes!$G$65:$G$148))*(1-(INT($B$8)+1-$B$8)),0)))</f>
        <v>0</v>
      </c>
      <c r="F89" s="121">
        <f>IF($A89&lt;$B$5+$B$4,-(LOOKUP($A89,Cot_droits!$A$17:$A$68,Cot_droits!$H$17:$H$68)+LOOKUP($A89,Cot_droits!$A$17:$A$68,Cot_droits!$L$17:$L$68))/LOOKUP($A89,Barèmes!$A$65:$A$148,Barèmes!$G$65:$G$148),IF(AND($A89&gt;=$B$5+$B$4,$A89&lt;=INT($B$8)-1+$B$4),LOOKUP($A89,Retraite!$A$7:$A$47,Retraite!$P$7:P$47)/LOOKUP($A89,Barèmes!$A$65:$A$148,Barèmes!$G$65:$G$148),IF($A89=INT($B$8+$B$4),(LOOKUP($A89,Retraite!$A$7:$A$47,Retraite!$P$7:$P$47)/LOOKUP($A89,Barèmes!$A$65:$A$148,Barèmes!$G$65:$G$148))*(1-(INT($B$8)+1-$B$8)),0)))</f>
        <v>0</v>
      </c>
      <c r="H89" s="131">
        <f>IF($A89&lt;$B$5+$B$4,-(LOOKUP($A89,Cot_droits!$A$17:$A$68,Cot_droits!$I$17:$I$68)+LOOKUP($A89,Cot_droits!$A$17:$A$68,Cot_droits!$J$17:$J$68)+LOOKUP($A89,Cot_droits!$A$17:$A$68,Cot_droits!$N$17:$N$68))/LOOKUP($A89,Barèmes!$A$65:$A$148,Barèmes!$G$65:$G$148),IF(AND($A89&gt;=$B$5+$B$4,$A89&lt;=INT($B$8)-1+$B$4),LOOKUP($A89,Retraite!$A$7:$A$47,Retraite!$M$7:$M$47)/LOOKUP($A89,Barèmes!$A$65:$A$148,Barèmes!$G$65:$G$148),IF($A89=INT($B$8+$B$4),(LOOKUP($A89,Retraite!$A$7:$A$47,Retraite!$M$7:$M$47)/LOOKUP($A89,Barèmes!$A$65:$A$148,Barèmes!$G$65:$G$148))*(1-(INT($B$8)+1-$B$8)),0)))</f>
        <v>0</v>
      </c>
      <c r="I89" s="121">
        <f>IF($A89&lt;$B$5+$B$4,-(LOOKUP($A89,Cot_droits!$A$17:$A$68,Cot_droits!$I$17:$I$68)+LOOKUP($A89,Cot_droits!$A$17:$A$68,Cot_droits!$J$17:$J$68)+LOOKUP($A89,Cot_droits!$A$17:$A$68,Cot_droits!$N$17:$N$68))/LOOKUP($A89,Barèmes!$A$65:$A$148,Barèmes!$G$65:$G$148),IF(AND($A89&gt;=$B$5+$B$4,$A89&lt;=INT($B$8)-1+$B$4),LOOKUP($A89,Retraite!$A$7:$A$47,Retraite!$Q$7:Q$47)/LOOKUP($A89,Barèmes!$A$65:$A$148,Barèmes!$G$65:$G$148),IF($A89=INT($B$8+$B$4),(LOOKUP($A89,Retraite!$A$7:$A$47,Retraite!$Q$7:$Q$47)/LOOKUP($A89,Barèmes!$A$65:$A$148,Barèmes!$G$65:$G$148))*(1-(INT($B$8)+1-$B$8)),0)))</f>
        <v>0</v>
      </c>
      <c r="J89" s="115"/>
    </row>
    <row r="90" spans="1:10" s="43" customFormat="1" ht="15.75" customHeight="1" x14ac:dyDescent="0.25">
      <c r="A90" s="125">
        <f t="shared" si="1"/>
        <v>2095</v>
      </c>
      <c r="B90" s="131">
        <f>IF($A90&lt;$B$5+$B$4,-LOOKUP($A90,Cot_droits!$A$17:$A$68,Cot_droits!$Q$17:$Q$68)/LOOKUP($A90,Barèmes!$A$65:$A$148,Barèmes!$G$65:$G$148),IF(AND($A90&gt;=$B$5+$B$4,$A90&lt;=INT($B$8)+$B$4-1),LOOKUP($A90,Retraite!$A$7:$A$47,Retraite!$K$7:$K$47)/LOOKUP($A90,Barèmes!$A$65:$A$148,Barèmes!$G$65:$G$148),IF($A90=INT($B$8+$B$4),(LOOKUP($A90,Retraite!$A$7:$A$47,Retraite!$K$7:$K$47)/LOOKUP($A90,Barèmes!$A$65:$A$148,Barèmes!$G$65:$G$148))*(1-(INT($B$8+1)-$B$8)),0)))</f>
        <v>0</v>
      </c>
      <c r="C90" s="121">
        <f>IF($A90&lt;$B$5+$B$4,-LOOKUP($A90,Cot_droits!$A$17:$A$68,Cot_droits!$Q$17:$Q$68)/LOOKUP($A90,Barèmes!$A$65:$A$148,Barèmes!$G$65:$G$148),IF(AND($A90&gt;=$B$5+$B$4,$A90&lt;=INT($B$8)-1+$B$4),LOOKUP($A90,Retraite!$A$7:$A$47,Retraite!N$7:$N$47)/LOOKUP($A90,Barèmes!$A$65:$A$148,Barèmes!$G$65:$G$148),IF($A90=INT($B$8+$B$4),(LOOKUP($A90,Retraite!$A$7:$A$47,Retraite!$N$7:$N$47)/LOOKUP($A90,Barèmes!$A$65:$A$148,Barèmes!$G$65:$G$148))*(1-(INT($B$8)+1-$B$8)),0)))</f>
        <v>0</v>
      </c>
      <c r="D90" s="115"/>
      <c r="E90" s="131">
        <f>IF($A90&lt;$B$5+$B$4,-(LOOKUP($A90,Cot_droits!$A$17:$A$68,Cot_droits!$H$17:$H$68)+LOOKUP($A90,Cot_droits!$A$17:$A$68,Cot_droits!$L$17:$L$68))/LOOKUP($A90,Barèmes!$A$65:$A$148,Barèmes!$G$65:$G$148),IF(AND($A90&gt;=$B$5+$B$4,$A90&lt;=INT($B$8)-1+$B$4),LOOKUP($A90,Retraite!$A$7:$A$47,Retraite!$L$7:$L$47)/LOOKUP($A90,Barèmes!$A$65:$A$148,Barèmes!$G$65:$G$148),IF($A90=INT($B$8+$B$4),(LOOKUP($A90,Retraite!$A$7:$A$47,Retraite!$L$7:$L$47)/LOOKUP($A90,Barèmes!$A$65:$A$148,Barèmes!$G$65:$G$148))*(1-(INT($B$8)+1-$B$8)),0)))</f>
        <v>0</v>
      </c>
      <c r="F90" s="121">
        <f>IF($A90&lt;$B$5+$B$4,-(LOOKUP($A90,Cot_droits!$A$17:$A$68,Cot_droits!$H$17:$H$68)+LOOKUP($A90,Cot_droits!$A$17:$A$68,Cot_droits!$L$17:$L$68))/LOOKUP($A90,Barèmes!$A$65:$A$148,Barèmes!$G$65:$G$148),IF(AND($A90&gt;=$B$5+$B$4,$A90&lt;=INT($B$8)-1+$B$4),LOOKUP($A90,Retraite!$A$7:$A$47,Retraite!$P$7:P$47)/LOOKUP($A90,Barèmes!$A$65:$A$148,Barèmes!$G$65:$G$148),IF($A90=INT($B$8+$B$4),(LOOKUP($A90,Retraite!$A$7:$A$47,Retraite!$P$7:$P$47)/LOOKUP($A90,Barèmes!$A$65:$A$148,Barèmes!$G$65:$G$148))*(1-(INT($B$8)+1-$B$8)),0)))</f>
        <v>0</v>
      </c>
      <c r="H90" s="131">
        <f>IF($A90&lt;$B$5+$B$4,-(LOOKUP($A90,Cot_droits!$A$17:$A$68,Cot_droits!$I$17:$I$68)+LOOKUP($A90,Cot_droits!$A$17:$A$68,Cot_droits!$J$17:$J$68)+LOOKUP($A90,Cot_droits!$A$17:$A$68,Cot_droits!$N$17:$N$68))/LOOKUP($A90,Barèmes!$A$65:$A$148,Barèmes!$G$65:$G$148),IF(AND($A90&gt;=$B$5+$B$4,$A90&lt;=INT($B$8)-1+$B$4),LOOKUP($A90,Retraite!$A$7:$A$47,Retraite!$M$7:$M$47)/LOOKUP($A90,Barèmes!$A$65:$A$148,Barèmes!$G$65:$G$148),IF($A90=INT($B$8+$B$4),(LOOKUP($A90,Retraite!$A$7:$A$47,Retraite!$M$7:$M$47)/LOOKUP($A90,Barèmes!$A$65:$A$148,Barèmes!$G$65:$G$148))*(1-(INT($B$8)+1-$B$8)),0)))</f>
        <v>0</v>
      </c>
      <c r="I90" s="121">
        <f>IF($A90&lt;$B$5+$B$4,-(LOOKUP($A90,Cot_droits!$A$17:$A$68,Cot_droits!$I$17:$I$68)+LOOKUP($A90,Cot_droits!$A$17:$A$68,Cot_droits!$J$17:$J$68)+LOOKUP($A90,Cot_droits!$A$17:$A$68,Cot_droits!$N$17:$N$68))/LOOKUP($A90,Barèmes!$A$65:$A$148,Barèmes!$G$65:$G$148),IF(AND($A90&gt;=$B$5+$B$4,$A90&lt;=INT($B$8)-1+$B$4),LOOKUP($A90,Retraite!$A$7:$A$47,Retraite!$Q$7:Q$47)/LOOKUP($A90,Barèmes!$A$65:$A$148,Barèmes!$G$65:$G$148),IF($A90=INT($B$8+$B$4),(LOOKUP($A90,Retraite!$A$7:$A$47,Retraite!$Q$7:$Q$47)/LOOKUP($A90,Barèmes!$A$65:$A$148,Barèmes!$G$65:$G$148))*(1-(INT($B$8)+1-$B$8)),0)))</f>
        <v>0</v>
      </c>
      <c r="J90" s="115"/>
    </row>
    <row r="91" spans="1:10" s="43" customFormat="1" ht="15.75" customHeight="1" x14ac:dyDescent="0.25">
      <c r="A91" s="125">
        <f t="shared" si="1"/>
        <v>2096</v>
      </c>
      <c r="B91" s="131">
        <f>IF($A91&lt;$B$5+$B$4,-LOOKUP($A91,Cot_droits!$A$17:$A$68,Cot_droits!$Q$17:$Q$68)/LOOKUP($A91,Barèmes!$A$65:$A$148,Barèmes!$G$65:$G$148),IF(AND($A91&gt;=$B$5+$B$4,$A91&lt;=INT($B$8)+$B$4-1),LOOKUP($A91,Retraite!$A$7:$A$47,Retraite!$K$7:$K$47)/LOOKUP($A91,Barèmes!$A$65:$A$148,Barèmes!$G$65:$G$148),IF($A91=INT($B$8+$B$4),(LOOKUP($A91,Retraite!$A$7:$A$47,Retraite!$K$7:$K$47)/LOOKUP($A91,Barèmes!$A$65:$A$148,Barèmes!$G$65:$G$148))*(1-(INT($B$8+1)-$B$8)),0)))</f>
        <v>0</v>
      </c>
      <c r="C91" s="121">
        <f>IF($A91&lt;$B$5+$B$4,-LOOKUP($A91,Cot_droits!$A$17:$A$68,Cot_droits!$Q$17:$Q$68)/LOOKUP($A91,Barèmes!$A$65:$A$148,Barèmes!$G$65:$G$148),IF(AND($A91&gt;=$B$5+$B$4,$A91&lt;=INT($B$8)-1+$B$4),LOOKUP($A91,Retraite!$A$7:$A$47,Retraite!N$7:$N$47)/LOOKUP($A91,Barèmes!$A$65:$A$148,Barèmes!$G$65:$G$148),IF($A91=INT($B$8+$B$4),(LOOKUP($A91,Retraite!$A$7:$A$47,Retraite!$N$7:$N$47)/LOOKUP($A91,Barèmes!$A$65:$A$148,Barèmes!$G$65:$G$148))*(1-(INT($B$8)+1-$B$8)),0)))</f>
        <v>0</v>
      </c>
      <c r="D91" s="115"/>
      <c r="E91" s="131">
        <f>IF($A91&lt;$B$5+$B$4,-(LOOKUP($A91,Cot_droits!$A$17:$A$68,Cot_droits!$H$17:$H$68)+LOOKUP($A91,Cot_droits!$A$17:$A$68,Cot_droits!$L$17:$L$68))/LOOKUP($A91,Barèmes!$A$65:$A$148,Barèmes!$G$65:$G$148),IF(AND($A91&gt;=$B$5+$B$4,$A91&lt;=INT($B$8)-1+$B$4),LOOKUP($A91,Retraite!$A$7:$A$47,Retraite!$L$7:$L$47)/LOOKUP($A91,Barèmes!$A$65:$A$148,Barèmes!$G$65:$G$148),IF($A91=INT($B$8+$B$4),(LOOKUP($A91,Retraite!$A$7:$A$47,Retraite!$L$7:$L$47)/LOOKUP($A91,Barèmes!$A$65:$A$148,Barèmes!$G$65:$G$148))*(1-(INT($B$8)+1-$B$8)),0)))</f>
        <v>0</v>
      </c>
      <c r="F91" s="121">
        <f>IF($A91&lt;$B$5+$B$4,-(LOOKUP($A91,Cot_droits!$A$17:$A$68,Cot_droits!$H$17:$H$68)+LOOKUP($A91,Cot_droits!$A$17:$A$68,Cot_droits!$L$17:$L$68))/LOOKUP($A91,Barèmes!$A$65:$A$148,Barèmes!$G$65:$G$148),IF(AND($A91&gt;=$B$5+$B$4,$A91&lt;=INT($B$8)-1+$B$4),LOOKUP($A91,Retraite!$A$7:$A$47,Retraite!$P$7:P$47)/LOOKUP($A91,Barèmes!$A$65:$A$148,Barèmes!$G$65:$G$148),IF($A91=INT($B$8+$B$4),(LOOKUP($A91,Retraite!$A$7:$A$47,Retraite!$P$7:$P$47)/LOOKUP($A91,Barèmes!$A$65:$A$148,Barèmes!$G$65:$G$148))*(1-(INT($B$8)+1-$B$8)),0)))</f>
        <v>0</v>
      </c>
      <c r="H91" s="131">
        <f>IF($A91&lt;$B$5+$B$4,-(LOOKUP($A91,Cot_droits!$A$17:$A$68,Cot_droits!$I$17:$I$68)+LOOKUP($A91,Cot_droits!$A$17:$A$68,Cot_droits!$J$17:$J$68)+LOOKUP($A91,Cot_droits!$A$17:$A$68,Cot_droits!$N$17:$N$68))/LOOKUP($A91,Barèmes!$A$65:$A$148,Barèmes!$G$65:$G$148),IF(AND($A91&gt;=$B$5+$B$4,$A91&lt;=INT($B$8)-1+$B$4),LOOKUP($A91,Retraite!$A$7:$A$47,Retraite!$M$7:$M$47)/LOOKUP($A91,Barèmes!$A$65:$A$148,Barèmes!$G$65:$G$148),IF($A91=INT($B$8+$B$4),(LOOKUP($A91,Retraite!$A$7:$A$47,Retraite!$M$7:$M$47)/LOOKUP($A91,Barèmes!$A$65:$A$148,Barèmes!$G$65:$G$148))*(1-(INT($B$8)+1-$B$8)),0)))</f>
        <v>0</v>
      </c>
      <c r="I91" s="121">
        <f>IF($A91&lt;$B$5+$B$4,-(LOOKUP($A91,Cot_droits!$A$17:$A$68,Cot_droits!$I$17:$I$68)+LOOKUP($A91,Cot_droits!$A$17:$A$68,Cot_droits!$J$17:$J$68)+LOOKUP($A91,Cot_droits!$A$17:$A$68,Cot_droits!$N$17:$N$68))/LOOKUP($A91,Barèmes!$A$65:$A$148,Barèmes!$G$65:$G$148),IF(AND($A91&gt;=$B$5+$B$4,$A91&lt;=INT($B$8)-1+$B$4),LOOKUP($A91,Retraite!$A$7:$A$47,Retraite!$Q$7:Q$47)/LOOKUP($A91,Barèmes!$A$65:$A$148,Barèmes!$G$65:$G$148),IF($A91=INT($B$8+$B$4),(LOOKUP($A91,Retraite!$A$7:$A$47,Retraite!$Q$7:$Q$47)/LOOKUP($A91,Barèmes!$A$65:$A$148,Barèmes!$G$65:$G$148))*(1-(INT($B$8)+1-$B$8)),0)))</f>
        <v>0</v>
      </c>
      <c r="J91" s="115"/>
    </row>
    <row r="92" spans="1:10" s="43" customFormat="1" ht="15.75" customHeight="1" x14ac:dyDescent="0.25">
      <c r="A92" s="125">
        <f t="shared" si="1"/>
        <v>2097</v>
      </c>
      <c r="B92" s="131">
        <f>IF($A92&lt;$B$5+$B$4,-LOOKUP($A92,Cot_droits!$A$17:$A$68,Cot_droits!$Q$17:$Q$68)/LOOKUP($A92,Barèmes!$A$65:$A$148,Barèmes!$G$65:$G$148),IF(AND($A92&gt;=$B$5+$B$4,$A92&lt;=INT($B$8)+$B$4-1),LOOKUP($A92,Retraite!$A$7:$A$47,Retraite!$K$7:$K$47)/LOOKUP($A92,Barèmes!$A$65:$A$148,Barèmes!$G$65:$G$148),IF($A92=INT($B$8+$B$4),(LOOKUP($A92,Retraite!$A$7:$A$47,Retraite!$K$7:$K$47)/LOOKUP($A92,Barèmes!$A$65:$A$148,Barèmes!$G$65:$G$148))*(1-(INT($B$8+1)-$B$8)),0)))</f>
        <v>0</v>
      </c>
      <c r="C92" s="121">
        <f>IF($A92&lt;$B$5+$B$4,-LOOKUP($A92,Cot_droits!$A$17:$A$68,Cot_droits!$Q$17:$Q$68)/LOOKUP($A92,Barèmes!$A$65:$A$148,Barèmes!$G$65:$G$148),IF(AND($A92&gt;=$B$5+$B$4,$A92&lt;=INT($B$8)-1+$B$4),LOOKUP($A92,Retraite!$A$7:$A$47,Retraite!N$7:$N$47)/LOOKUP($A92,Barèmes!$A$65:$A$148,Barèmes!$G$65:$G$148),IF($A92=INT($B$8+$B$4),(LOOKUP($A92,Retraite!$A$7:$A$47,Retraite!$N$7:$N$47)/LOOKUP($A92,Barèmes!$A$65:$A$148,Barèmes!$G$65:$G$148))*(1-(INT($B$8)+1-$B$8)),0)))</f>
        <v>0</v>
      </c>
      <c r="D92" s="115"/>
      <c r="E92" s="131">
        <f>IF($A92&lt;$B$5+$B$4,-(LOOKUP($A92,Cot_droits!$A$17:$A$68,Cot_droits!$H$17:$H$68)+LOOKUP($A92,Cot_droits!$A$17:$A$68,Cot_droits!$L$17:$L$68))/LOOKUP($A92,Barèmes!$A$65:$A$148,Barèmes!$G$65:$G$148),IF(AND($A92&gt;=$B$5+$B$4,$A92&lt;=INT($B$8)-1+$B$4),LOOKUP($A92,Retraite!$A$7:$A$47,Retraite!$L$7:$L$47)/LOOKUP($A92,Barèmes!$A$65:$A$148,Barèmes!$G$65:$G$148),IF($A92=INT($B$8+$B$4),(LOOKUP($A92,Retraite!$A$7:$A$47,Retraite!$L$7:$L$47)/LOOKUP($A92,Barèmes!$A$65:$A$148,Barèmes!$G$65:$G$148))*(1-(INT($B$8)+1-$B$8)),0)))</f>
        <v>0</v>
      </c>
      <c r="F92" s="121">
        <f>IF($A92&lt;$B$5+$B$4,-(LOOKUP($A92,Cot_droits!$A$17:$A$68,Cot_droits!$H$17:$H$68)+LOOKUP($A92,Cot_droits!$A$17:$A$68,Cot_droits!$L$17:$L$68))/LOOKUP($A92,Barèmes!$A$65:$A$148,Barèmes!$G$65:$G$148),IF(AND($A92&gt;=$B$5+$B$4,$A92&lt;=INT($B$8)-1+$B$4),LOOKUP($A92,Retraite!$A$7:$A$47,Retraite!$P$7:P$47)/LOOKUP($A92,Barèmes!$A$65:$A$148,Barèmes!$G$65:$G$148),IF($A92=INT($B$8+$B$4),(LOOKUP($A92,Retraite!$A$7:$A$47,Retraite!$P$7:$P$47)/LOOKUP($A92,Barèmes!$A$65:$A$148,Barèmes!$G$65:$G$148))*(1-(INT($B$8)+1-$B$8)),0)))</f>
        <v>0</v>
      </c>
      <c r="H92" s="131">
        <f>IF($A92&lt;$B$5+$B$4,-(LOOKUP($A92,Cot_droits!$A$17:$A$68,Cot_droits!$I$17:$I$68)+LOOKUP($A92,Cot_droits!$A$17:$A$68,Cot_droits!$J$17:$J$68)+LOOKUP($A92,Cot_droits!$A$17:$A$68,Cot_droits!$N$17:$N$68))/LOOKUP($A92,Barèmes!$A$65:$A$148,Barèmes!$G$65:$G$148),IF(AND($A92&gt;=$B$5+$B$4,$A92&lt;=INT($B$8)-1+$B$4),LOOKUP($A92,Retraite!$A$7:$A$47,Retraite!$M$7:$M$47)/LOOKUP($A92,Barèmes!$A$65:$A$148,Barèmes!$G$65:$G$148),IF($A92=INT($B$8+$B$4),(LOOKUP($A92,Retraite!$A$7:$A$47,Retraite!$M$7:$M$47)/LOOKUP($A92,Barèmes!$A$65:$A$148,Barèmes!$G$65:$G$148))*(1-(INT($B$8)+1-$B$8)),0)))</f>
        <v>0</v>
      </c>
      <c r="I92" s="121">
        <f>IF($A92&lt;$B$5+$B$4,-(LOOKUP($A92,Cot_droits!$A$17:$A$68,Cot_droits!$I$17:$I$68)+LOOKUP($A92,Cot_droits!$A$17:$A$68,Cot_droits!$J$17:$J$68)+LOOKUP($A92,Cot_droits!$A$17:$A$68,Cot_droits!$N$17:$N$68))/LOOKUP($A92,Barèmes!$A$65:$A$148,Barèmes!$G$65:$G$148),IF(AND($A92&gt;=$B$5+$B$4,$A92&lt;=INT($B$8)-1+$B$4),LOOKUP($A92,Retraite!$A$7:$A$47,Retraite!$Q$7:Q$47)/LOOKUP($A92,Barèmes!$A$65:$A$148,Barèmes!$G$65:$G$148),IF($A92=INT($B$8+$B$4),(LOOKUP($A92,Retraite!$A$7:$A$47,Retraite!$Q$7:$Q$47)/LOOKUP($A92,Barèmes!$A$65:$A$148,Barèmes!$G$65:$G$148))*(1-(INT($B$8)+1-$B$8)),0)))</f>
        <v>0</v>
      </c>
      <c r="J92" s="115"/>
    </row>
    <row r="93" spans="1:10" s="43" customFormat="1" ht="15.75" customHeight="1" x14ac:dyDescent="0.25">
      <c r="A93" s="125">
        <f t="shared" si="1"/>
        <v>2098</v>
      </c>
      <c r="B93" s="131">
        <f>IF($A93&lt;$B$5+$B$4,-LOOKUP($A93,Cot_droits!$A$17:$A$68,Cot_droits!$Q$17:$Q$68)/LOOKUP($A93,Barèmes!$A$65:$A$148,Barèmes!$G$65:$G$148),IF(AND($A93&gt;=$B$5+$B$4,$A93&lt;=INT($B$8)+$B$4-1),LOOKUP($A93,Retraite!$A$7:$A$47,Retraite!$K$7:$K$47)/LOOKUP($A93,Barèmes!$A$65:$A$148,Barèmes!$G$65:$G$148),IF($A93=INT($B$8+$B$4),(LOOKUP($A93,Retraite!$A$7:$A$47,Retraite!$K$7:$K$47)/LOOKUP($A93,Barèmes!$A$65:$A$148,Barèmes!$G$65:$G$148))*(1-(INT($B$8+1)-$B$8)),0)))</f>
        <v>0</v>
      </c>
      <c r="C93" s="121">
        <f>IF($A93&lt;$B$5+$B$4,-LOOKUP($A93,Cot_droits!$A$17:$A$68,Cot_droits!$Q$17:$Q$68)/LOOKUP($A93,Barèmes!$A$65:$A$148,Barèmes!$G$65:$G$148),IF(AND($A93&gt;=$B$5+$B$4,$A93&lt;=INT($B$8)-1+$B$4),LOOKUP($A93,Retraite!$A$7:$A$47,Retraite!N$7:$N$47)/LOOKUP($A93,Barèmes!$A$65:$A$148,Barèmes!$G$65:$G$148),IF($A93=INT($B$8+$B$4),(LOOKUP($A93,Retraite!$A$7:$A$47,Retraite!$N$7:$N$47)/LOOKUP($A93,Barèmes!$A$65:$A$148,Barèmes!$G$65:$G$148))*(1-(INT($B$8)+1-$B$8)),0)))</f>
        <v>0</v>
      </c>
      <c r="D93" s="115"/>
      <c r="E93" s="131">
        <f>IF($A93&lt;$B$5+$B$4,-(LOOKUP($A93,Cot_droits!$A$17:$A$68,Cot_droits!$H$17:$H$68)+LOOKUP($A93,Cot_droits!$A$17:$A$68,Cot_droits!$L$17:$L$68))/LOOKUP($A93,Barèmes!$A$65:$A$148,Barèmes!$G$65:$G$148),IF(AND($A93&gt;=$B$5+$B$4,$A93&lt;=INT($B$8)-1+$B$4),LOOKUP($A93,Retraite!$A$7:$A$47,Retraite!$L$7:$L$47)/LOOKUP($A93,Barèmes!$A$65:$A$148,Barèmes!$G$65:$G$148),IF($A93=INT($B$8+$B$4),(LOOKUP($A93,Retraite!$A$7:$A$47,Retraite!$L$7:$L$47)/LOOKUP($A93,Barèmes!$A$65:$A$148,Barèmes!$G$65:$G$148))*(1-(INT($B$8)+1-$B$8)),0)))</f>
        <v>0</v>
      </c>
      <c r="F93" s="121">
        <f>IF($A93&lt;$B$5+$B$4,-(LOOKUP($A93,Cot_droits!$A$17:$A$68,Cot_droits!$H$17:$H$68)+LOOKUP($A93,Cot_droits!$A$17:$A$68,Cot_droits!$L$17:$L$68))/LOOKUP($A93,Barèmes!$A$65:$A$148,Barèmes!$G$65:$G$148),IF(AND($A93&gt;=$B$5+$B$4,$A93&lt;=INT($B$8)-1+$B$4),LOOKUP($A93,Retraite!$A$7:$A$47,Retraite!$P$7:P$47)/LOOKUP($A93,Barèmes!$A$65:$A$148,Barèmes!$G$65:$G$148),IF($A93=INT($B$8+$B$4),(LOOKUP($A93,Retraite!$A$7:$A$47,Retraite!$P$7:$P$47)/LOOKUP($A93,Barèmes!$A$65:$A$148,Barèmes!$G$65:$G$148))*(1-(INT($B$8)+1-$B$8)),0)))</f>
        <v>0</v>
      </c>
      <c r="H93" s="131">
        <f>IF($A93&lt;$B$5+$B$4,-(LOOKUP($A93,Cot_droits!$A$17:$A$68,Cot_droits!$I$17:$I$68)+LOOKUP($A93,Cot_droits!$A$17:$A$68,Cot_droits!$J$17:$J$68)+LOOKUP($A93,Cot_droits!$A$17:$A$68,Cot_droits!$N$17:$N$68))/LOOKUP($A93,Barèmes!$A$65:$A$148,Barèmes!$G$65:$G$148),IF(AND($A93&gt;=$B$5+$B$4,$A93&lt;=INT($B$8)-1+$B$4),LOOKUP($A93,Retraite!$A$7:$A$47,Retraite!$M$7:$M$47)/LOOKUP($A93,Barèmes!$A$65:$A$148,Barèmes!$G$65:$G$148),IF($A93=INT($B$8+$B$4),(LOOKUP($A93,Retraite!$A$7:$A$47,Retraite!$M$7:$M$47)/LOOKUP($A93,Barèmes!$A$65:$A$148,Barèmes!$G$65:$G$148))*(1-(INT($B$8)+1-$B$8)),0)))</f>
        <v>0</v>
      </c>
      <c r="I93" s="121">
        <f>IF($A93&lt;$B$5+$B$4,-(LOOKUP($A93,Cot_droits!$A$17:$A$68,Cot_droits!$I$17:$I$68)+LOOKUP($A93,Cot_droits!$A$17:$A$68,Cot_droits!$J$17:$J$68)+LOOKUP($A93,Cot_droits!$A$17:$A$68,Cot_droits!$N$17:$N$68))/LOOKUP($A93,Barèmes!$A$65:$A$148,Barèmes!$G$65:$G$148),IF(AND($A93&gt;=$B$5+$B$4,$A93&lt;=INT($B$8)-1+$B$4),LOOKUP($A93,Retraite!$A$7:$A$47,Retraite!$Q$7:Q$47)/LOOKUP($A93,Barèmes!$A$65:$A$148,Barèmes!$G$65:$G$148),IF($A93=INT($B$8+$B$4),(LOOKUP($A93,Retraite!$A$7:$A$47,Retraite!$Q$7:$Q$47)/LOOKUP($A93,Barèmes!$A$65:$A$148,Barèmes!$G$65:$G$148))*(1-(INT($B$8)+1-$B$8)),0)))</f>
        <v>0</v>
      </c>
      <c r="J93" s="115"/>
    </row>
    <row r="94" spans="1:10" s="43" customFormat="1" ht="15.75" customHeight="1" x14ac:dyDescent="0.25">
      <c r="A94" s="125">
        <f t="shared" si="1"/>
        <v>2099</v>
      </c>
      <c r="B94" s="131">
        <f>IF($A94&lt;$B$5+$B$4,-LOOKUP($A94,Cot_droits!$A$17:$A$68,Cot_droits!$Q$17:$Q$68)/LOOKUP($A94,Barèmes!$A$65:$A$148,Barèmes!$G$65:$G$148),IF(AND($A94&gt;=$B$5+$B$4,$A94&lt;=INT($B$8)+$B$4-1),LOOKUP($A94,Retraite!$A$7:$A$47,Retraite!$K$7:$K$47)/LOOKUP($A94,Barèmes!$A$65:$A$148,Barèmes!$G$65:$G$148),IF($A94=INT($B$8+$B$4),(LOOKUP($A94,Retraite!$A$7:$A$47,Retraite!$K$7:$K$47)/LOOKUP($A94,Barèmes!$A$65:$A$148,Barèmes!$G$65:$G$148))*(1-(INT($B$8+1)-$B$8)),0)))</f>
        <v>0</v>
      </c>
      <c r="C94" s="121">
        <f>IF($A94&lt;$B$5+$B$4,-LOOKUP($A94,Cot_droits!$A$17:$A$68,Cot_droits!$Q$17:$Q$68)/LOOKUP($A94,Barèmes!$A$65:$A$148,Barèmes!$G$65:$G$148),IF(AND($A94&gt;=$B$5+$B$4,$A94&lt;=INT($B$8)-1+$B$4),LOOKUP($A94,Retraite!$A$7:$A$47,Retraite!N$7:$N$47)/LOOKUP($A94,Barèmes!$A$65:$A$148,Barèmes!$G$65:$G$148),IF($A94=INT($B$8+$B$4),(LOOKUP($A94,Retraite!$A$7:$A$47,Retraite!$N$7:$N$47)/LOOKUP($A94,Barèmes!$A$65:$A$148,Barèmes!$G$65:$G$148))*(1-(INT($B$8)+1-$B$8)),0)))</f>
        <v>0</v>
      </c>
      <c r="D94" s="115"/>
      <c r="E94" s="131">
        <f>IF($A94&lt;$B$5+$B$4,-(LOOKUP($A94,Cot_droits!$A$17:$A$68,Cot_droits!$H$17:$H$68)+LOOKUP($A94,Cot_droits!$A$17:$A$68,Cot_droits!$L$17:$L$68))/LOOKUP($A94,Barèmes!$A$65:$A$148,Barèmes!$G$65:$G$148),IF(AND($A94&gt;=$B$5+$B$4,$A94&lt;=INT($B$8)-1+$B$4),LOOKUP($A94,Retraite!$A$7:$A$47,Retraite!$L$7:$L$47)/LOOKUP($A94,Barèmes!$A$65:$A$148,Barèmes!$G$65:$G$148),IF($A94=INT($B$8+$B$4),(LOOKUP($A94,Retraite!$A$7:$A$47,Retraite!$L$7:$L$47)/LOOKUP($A94,Barèmes!$A$65:$A$148,Barèmes!$G$65:$G$148))*(1-(INT($B$8)+1-$B$8)),0)))</f>
        <v>0</v>
      </c>
      <c r="F94" s="121">
        <f>IF($A94&lt;$B$5+$B$4,-(LOOKUP($A94,Cot_droits!$A$17:$A$68,Cot_droits!$H$17:$H$68)+LOOKUP($A94,Cot_droits!$A$17:$A$68,Cot_droits!$L$17:$L$68))/LOOKUP($A94,Barèmes!$A$65:$A$148,Barèmes!$G$65:$G$148),IF(AND($A94&gt;=$B$5+$B$4,$A94&lt;=INT($B$8)-1+$B$4),LOOKUP($A94,Retraite!$A$7:$A$47,Retraite!$P$7:P$47)/LOOKUP($A94,Barèmes!$A$65:$A$148,Barèmes!$G$65:$G$148),IF($A94=INT($B$8+$B$4),(LOOKUP($A94,Retraite!$A$7:$A$47,Retraite!$P$7:$P$47)/LOOKUP($A94,Barèmes!$A$65:$A$148,Barèmes!$G$65:$G$148))*(1-(INT($B$8)+1-$B$8)),0)))</f>
        <v>0</v>
      </c>
      <c r="H94" s="131">
        <f>IF($A94&lt;$B$5+$B$4,-(LOOKUP($A94,Cot_droits!$A$17:$A$68,Cot_droits!$I$17:$I$68)+LOOKUP($A94,Cot_droits!$A$17:$A$68,Cot_droits!$J$17:$J$68)+LOOKUP($A94,Cot_droits!$A$17:$A$68,Cot_droits!$N$17:$N$68))/LOOKUP($A94,Barèmes!$A$65:$A$148,Barèmes!$G$65:$G$148),IF(AND($A94&gt;=$B$5+$B$4,$A94&lt;=INT($B$8)-1+$B$4),LOOKUP($A94,Retraite!$A$7:$A$47,Retraite!$M$7:$M$47)/LOOKUP($A94,Barèmes!$A$65:$A$148,Barèmes!$G$65:$G$148),IF($A94=INT($B$8+$B$4),(LOOKUP($A94,Retraite!$A$7:$A$47,Retraite!$M$7:$M$47)/LOOKUP($A94,Barèmes!$A$65:$A$148,Barèmes!$G$65:$G$148))*(1-(INT($B$8)+1-$B$8)),0)))</f>
        <v>0</v>
      </c>
      <c r="I94" s="121">
        <f>IF($A94&lt;$B$5+$B$4,-(LOOKUP($A94,Cot_droits!$A$17:$A$68,Cot_droits!$I$17:$I$68)+LOOKUP($A94,Cot_droits!$A$17:$A$68,Cot_droits!$J$17:$J$68)+LOOKUP($A94,Cot_droits!$A$17:$A$68,Cot_droits!$N$17:$N$68))/LOOKUP($A94,Barèmes!$A$65:$A$148,Barèmes!$G$65:$G$148),IF(AND($A94&gt;=$B$5+$B$4,$A94&lt;=INT($B$8)-1+$B$4),LOOKUP($A94,Retraite!$A$7:$A$47,Retraite!$Q$7:Q$47)/LOOKUP($A94,Barèmes!$A$65:$A$148,Barèmes!$G$65:$G$148),IF($A94=INT($B$8+$B$4),(LOOKUP($A94,Retraite!$A$7:$A$47,Retraite!$Q$7:$Q$47)/LOOKUP($A94,Barèmes!$A$65:$A$148,Barèmes!$G$65:$G$148))*(1-(INT($B$8)+1-$B$8)),0)))</f>
        <v>0</v>
      </c>
      <c r="J94" s="115"/>
    </row>
    <row r="95" spans="1:10" s="43" customFormat="1" ht="15.75" customHeight="1" thickBot="1" x14ac:dyDescent="0.3">
      <c r="A95" s="126">
        <f t="shared" si="1"/>
        <v>2100</v>
      </c>
      <c r="B95" s="132">
        <f>IF($A95&lt;$B$5+$B$4,-LOOKUP($A95,Cot_droits!$A$17:$A$68,Cot_droits!$Q$17:$Q$68)/LOOKUP($A95,Barèmes!$A$65:$A$148,Barèmes!$G$65:$G$148),IF(AND($A95&gt;=$B$5+$B$4,$A95&lt;=INT($B$8)+$B$4-1),LOOKUP($A95,Retraite!$A$7:$A$47,Retraite!$K$7:$K$47)/LOOKUP($A95,Barèmes!$A$65:$A$148,Barèmes!$G$65:$G$148),IF($A95=INT($B$8+$B$4),(LOOKUP($A95,Retraite!$A$7:$A$47,Retraite!$K$7:$K$47)/LOOKUP($A95,Barèmes!$A$65:$A$148,Barèmes!$G$65:$G$148))*(1-(INT($B$8+1)-$B$8)),0)))</f>
        <v>0</v>
      </c>
      <c r="C95" s="123">
        <f>IF($A95&lt;$B$5+$B$4,-LOOKUP($A95,Cot_droits!$A$17:$A$68,Cot_droits!$Q$17:$Q$68)/LOOKUP($A95,Barèmes!$A$65:$A$148,Barèmes!$G$65:$G$148),IF(AND($A95&gt;=$B$5+$B$4,$A95&lt;=INT($B$8)-1+$B$4),LOOKUP($A95,Retraite!$A$7:$A$47,Retraite!N$7:$N$47)/LOOKUP($A95,Barèmes!$A$65:$A$148,Barèmes!$G$65:$G$148),IF($A95=INT($B$8+$B$4),(LOOKUP($A95,Retraite!$A$7:$A$47,Retraite!$N$7:$N$47)/LOOKUP($A95,Barèmes!$A$65:$A$148,Barèmes!$G$65:$G$148))*(1-(INT($B$8)+1-$B$8)),0)))</f>
        <v>0</v>
      </c>
      <c r="D95" s="115"/>
      <c r="E95" s="132">
        <f>IF($A95&lt;$B$5+$B$4,-(LOOKUP($A95,Cot_droits!$A$17:$A$68,Cot_droits!$H$17:$H$68)+LOOKUP($A95,Cot_droits!$A$17:$A$68,Cot_droits!$L$17:$L$68))/LOOKUP($A95,Barèmes!$A$65:$A$148,Barèmes!$G$65:$G$148),IF(AND($A95&gt;=$B$5+$B$4,$A95&lt;=INT($B$8)-1+$B$4),LOOKUP($A95,Retraite!$A$7:$A$47,Retraite!$L$7:$L$47)/LOOKUP($A95,Barèmes!$A$65:$A$148,Barèmes!$G$65:$G$148),IF($A95=INT($B$8+$B$4),(LOOKUP($A95,Retraite!$A$7:$A$47,Retraite!$L$7:$L$47)/LOOKUP($A95,Barèmes!$A$65:$A$148,Barèmes!$G$65:$G$148))*(1-(INT($B$8)+1-$B$8)),0)))</f>
        <v>0</v>
      </c>
      <c r="F95" s="123">
        <f>IF($A95&lt;$B$5+$B$4,-(LOOKUP($A95,Cot_droits!$A$17:$A$68,Cot_droits!$H$17:$H$68)+LOOKUP($A95,Cot_droits!$A$17:$A$68,Cot_droits!$L$17:$L$68))/LOOKUP($A95,Barèmes!$A$65:$A$148,Barèmes!$G$65:$G$148),IF(AND($A95&gt;=$B$5+$B$4,$A95&lt;=INT($B$8)-1+$B$4),LOOKUP($A95,Retraite!$A$7:$A$47,Retraite!$P$7:P$47)/LOOKUP($A95,Barèmes!$A$65:$A$148,Barèmes!$G$65:$G$148),IF($A95=INT($B$8+$B$4),(LOOKUP($A95,Retraite!$A$7:$A$47,Retraite!$P$7:$P$47)/LOOKUP($A95,Barèmes!$A$65:$A$148,Barèmes!$G$65:$G$148))*(1-(INT($B$8)+1-$B$8)),0)))</f>
        <v>0</v>
      </c>
      <c r="H95" s="132">
        <f>IF($A95&lt;$B$5+$B$4,-(LOOKUP($A95,Cot_droits!$A$17:$A$68,Cot_droits!$I$17:$I$68)+LOOKUP($A95,Cot_droits!$A$17:$A$68,Cot_droits!$J$17:$J$68)+LOOKUP($A95,Cot_droits!$A$17:$A$68,Cot_droits!$N$17:$N$68))/LOOKUP($A95,Barèmes!$A$65:$A$148,Barèmes!$G$65:$G$148),IF(AND($A95&gt;=$B$5+$B$4,$A95&lt;=INT($B$8)-1+$B$4),LOOKUP($A95,Retraite!$A$7:$A$47,Retraite!$M$7:$M$47)/LOOKUP($A95,Barèmes!$A$65:$A$148,Barèmes!$G$65:$G$148),IF($A95=INT($B$8+$B$4),(LOOKUP($A95,Retraite!$A$7:$A$47,Retraite!$M$7:$M$47)/LOOKUP($A95,Barèmes!$A$65:$A$148,Barèmes!$G$65:$G$148))*(1-(INT($B$8)+1-$B$8)),0)))</f>
        <v>0</v>
      </c>
      <c r="I95" s="123">
        <f>IF($A95&lt;$B$5+$B$4,-(LOOKUP($A95,Cot_droits!$A$17:$A$68,Cot_droits!$I$17:$I$68)+LOOKUP($A95,Cot_droits!$A$17:$A$68,Cot_droits!$J$17:$J$68)+LOOKUP($A95,Cot_droits!$A$17:$A$68,Cot_droits!$N$17:$N$68))/LOOKUP($A95,Barèmes!$A$65:$A$148,Barèmes!$G$65:$G$148),IF(AND($A95&gt;=$B$5+$B$4,$A95&lt;=INT($B$8)-1+$B$4),LOOKUP($A95,Retraite!$A$7:$A$47,Retraite!$Q$7:Q$47)/LOOKUP($A95,Barèmes!$A$65:$A$148,Barèmes!$G$65:$G$148),IF($A95=INT($B$8+$B$4),(LOOKUP($A95,Retraite!$A$7:$A$47,Retraite!$Q$7:$Q$47)/LOOKUP($A95,Barèmes!$A$65:$A$148,Barèmes!$G$65:$G$148))*(1-(INT($B$8)+1-$B$8)),0)))</f>
        <v>0</v>
      </c>
      <c r="J95" s="115"/>
    </row>
    <row r="96" spans="1:10" s="43" customFormat="1" ht="15.75" customHeight="1" x14ac:dyDescent="0.25">
      <c r="A96" s="361"/>
      <c r="G96" s="41"/>
    </row>
    <row r="97" spans="1:7" s="43" customFormat="1" ht="15.75" customHeight="1" x14ac:dyDescent="0.25">
      <c r="A97" s="361"/>
      <c r="G97" s="41"/>
    </row>
  </sheetData>
  <mergeCells count="18">
    <mergeCell ref="B7:C7"/>
    <mergeCell ref="E7:F7"/>
    <mergeCell ref="H7:I7"/>
    <mergeCell ref="B8:C8"/>
    <mergeCell ref="E8:F8"/>
    <mergeCell ref="H8:I8"/>
    <mergeCell ref="B5:C5"/>
    <mergeCell ref="E5:F5"/>
    <mergeCell ref="H5:I5"/>
    <mergeCell ref="B6:C6"/>
    <mergeCell ref="E6:F6"/>
    <mergeCell ref="H6:I6"/>
    <mergeCell ref="B2:C2"/>
    <mergeCell ref="E2:F2"/>
    <mergeCell ref="H2:I2"/>
    <mergeCell ref="B4:C4"/>
    <mergeCell ref="E4:F4"/>
    <mergeCell ref="H4:I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103"/>
  <sheetViews>
    <sheetView showGridLines="0" workbookViewId="0">
      <selection activeCell="C16" sqref="C16"/>
    </sheetView>
  </sheetViews>
  <sheetFormatPr baseColWidth="10" defaultRowHeight="15.75" customHeight="1" x14ac:dyDescent="0.25"/>
  <cols>
    <col min="1" max="2" width="25.85546875" style="1" customWidth="1"/>
    <col min="3" max="3" width="7.7109375" style="134" customWidth="1"/>
    <col min="4" max="6" width="17" style="41" customWidth="1"/>
    <col min="7" max="7" width="8.140625" style="41" customWidth="1"/>
    <col min="8" max="10" width="17" style="41" customWidth="1"/>
    <col min="11" max="11" width="9" style="41" customWidth="1"/>
    <col min="12" max="14" width="17" style="41" customWidth="1"/>
    <col min="15" max="16384" width="11.42578125" style="41"/>
  </cols>
  <sheetData>
    <row r="1" spans="1:14" ht="32.25" customHeight="1" x14ac:dyDescent="0.25">
      <c r="A1" s="128" t="s">
        <v>148</v>
      </c>
      <c r="B1" s="128"/>
      <c r="C1" s="133"/>
      <c r="D1" s="128" t="s">
        <v>134</v>
      </c>
      <c r="E1" s="128"/>
      <c r="H1" s="128"/>
      <c r="I1" s="128"/>
      <c r="L1" s="128"/>
      <c r="M1" s="128"/>
    </row>
    <row r="2" spans="1:14" ht="15.75" customHeight="1" x14ac:dyDescent="0.3">
      <c r="B2" s="106" t="s">
        <v>139</v>
      </c>
      <c r="D2" s="775" t="s">
        <v>135</v>
      </c>
      <c r="E2" s="775"/>
      <c r="F2" s="775"/>
      <c r="H2" s="775" t="s">
        <v>90</v>
      </c>
      <c r="I2" s="775"/>
      <c r="J2" s="775"/>
      <c r="L2" s="775" t="s">
        <v>16</v>
      </c>
      <c r="M2" s="775"/>
      <c r="N2" s="775"/>
    </row>
    <row r="3" spans="1:14" ht="7.5" customHeight="1" thickBot="1" x14ac:dyDescent="0.35">
      <c r="D3" s="106"/>
      <c r="E3" s="106"/>
      <c r="F3" s="106"/>
      <c r="H3" s="106"/>
      <c r="I3" s="106"/>
      <c r="J3" s="106"/>
      <c r="L3" s="106"/>
      <c r="M3" s="106"/>
      <c r="N3" s="106"/>
    </row>
    <row r="4" spans="1:14" s="43" customFormat="1" ht="15.75" customHeight="1" thickBot="1" x14ac:dyDescent="0.3">
      <c r="A4" s="114" t="s">
        <v>30</v>
      </c>
      <c r="B4" s="42">
        <f>Simulation!$D$4</f>
        <v>2000</v>
      </c>
      <c r="C4" s="135"/>
      <c r="D4" s="776">
        <f>B4</f>
        <v>2000</v>
      </c>
      <c r="E4" s="787"/>
      <c r="F4" s="777"/>
      <c r="H4" s="776">
        <f>D4</f>
        <v>2000</v>
      </c>
      <c r="I4" s="787"/>
      <c r="J4" s="777"/>
      <c r="L4" s="776">
        <f>H4</f>
        <v>2000</v>
      </c>
      <c r="M4" s="787"/>
      <c r="N4" s="777"/>
    </row>
    <row r="5" spans="1:14" s="43" customFormat="1" ht="15.75" customHeight="1" x14ac:dyDescent="0.25">
      <c r="A5" s="127" t="s">
        <v>31</v>
      </c>
      <c r="B5" s="136">
        <f>D5</f>
        <v>64</v>
      </c>
      <c r="C5" s="135"/>
      <c r="D5" s="778">
        <f>Simulation!$D$6</f>
        <v>64</v>
      </c>
      <c r="E5" s="788"/>
      <c r="F5" s="779"/>
      <c r="H5" s="778">
        <f>Simulation!$D$6</f>
        <v>64</v>
      </c>
      <c r="I5" s="788"/>
      <c r="J5" s="779"/>
      <c r="L5" s="778">
        <f>Simulation!$D$6</f>
        <v>64</v>
      </c>
      <c r="M5" s="788"/>
      <c r="N5" s="779"/>
    </row>
    <row r="6" spans="1:14" s="43" customFormat="1" ht="15.75" customHeight="1" x14ac:dyDescent="0.25">
      <c r="A6" s="125" t="s">
        <v>51</v>
      </c>
      <c r="B6" s="136" t="str">
        <f t="shared" ref="B6:B8" si="0">D6</f>
        <v>Neutre</v>
      </c>
      <c r="C6" s="135"/>
      <c r="D6" s="780" t="str">
        <f>Simulation!$D$8</f>
        <v>Neutre</v>
      </c>
      <c r="E6" s="782"/>
      <c r="F6" s="781"/>
      <c r="H6" s="780" t="str">
        <f>Simulation!$D$8</f>
        <v>Neutre</v>
      </c>
      <c r="I6" s="782"/>
      <c r="J6" s="781"/>
      <c r="L6" s="780" t="str">
        <f>Simulation!$D$8</f>
        <v>Neutre</v>
      </c>
      <c r="M6" s="782"/>
      <c r="N6" s="781"/>
    </row>
    <row r="7" spans="1:14" s="43" customFormat="1" ht="15.75" customHeight="1" x14ac:dyDescent="0.25">
      <c r="A7" s="125" t="s">
        <v>49</v>
      </c>
      <c r="B7" s="136" t="str">
        <f t="shared" si="0"/>
        <v>Moyen</v>
      </c>
      <c r="C7" s="135"/>
      <c r="D7" s="780" t="str">
        <f>Simulation!$D$9</f>
        <v>Moyen</v>
      </c>
      <c r="E7" s="782"/>
      <c r="F7" s="781"/>
      <c r="H7" s="780" t="str">
        <f>Simulation!$D$9</f>
        <v>Moyen</v>
      </c>
      <c r="I7" s="782"/>
      <c r="J7" s="781"/>
      <c r="L7" s="780" t="str">
        <f>Simulation!$D$9</f>
        <v>Moyen</v>
      </c>
      <c r="M7" s="782"/>
      <c r="N7" s="781"/>
    </row>
    <row r="8" spans="1:14" s="43" customFormat="1" ht="15.75" customHeight="1" thickBot="1" x14ac:dyDescent="0.3">
      <c r="A8" s="126" t="s">
        <v>136</v>
      </c>
      <c r="B8" s="137">
        <f t="shared" si="0"/>
        <v>91.05329307138409</v>
      </c>
      <c r="C8" s="135"/>
      <c r="D8" s="773">
        <f>IF(AND($D$6="Homme",$D$7="Moyen"),LOOKUP($D$5,EV!$B$16:$B$23,EV!$C$16:$C$23),IF(AND($D$6="Femme",$D$7="Moyen"),LOOKUP($D$5,EV!$B$16:$B$23,EV!$D$16:$D$23),IF(AND($D$6="Neutre",$D$7="Moyen"),LOOKUP($D$5,EV!$B$16:$B$23,EV!$E$16:$E$23),IF(AND($D$6="Homme",$D$7="Cadre"),LOOKUP($D$5,EV!$B$16:$B$23,EV!$F$16:$F$23),IF(AND($D$6="Femme",$D$7="Cadre"),LOOKUP($D$5,EV!$B$16:$B$23,EV!$G$16:$G$23),IF(AND($D$6="Neutre",$D$7="Cadre"),LOOKUP($D$5,EV!$B$16:$B$23,EV!$H$16:$H$23),IF(AND($D$6="Homme",$D$7="Ouvrier"),LOOKUP($D$5,EV!$B$16:$B$23,EV!$I$16:$I$23),IF(AND($D$6="Femme",$D$7="Ouvrier"),LOOKUP($D$5,EV!$B$16:$B$23,EV!$J$16:$J$23),LOOKUP($D$5,EV!$B$16:$B$23,EV!$K$16:$K$23)))))))))</f>
        <v>91.05329307138409</v>
      </c>
      <c r="E8" s="783"/>
      <c r="F8" s="774"/>
      <c r="G8" s="92"/>
      <c r="H8" s="773">
        <f>IF(AND($D$6="Homme",$D$7="Moyen"),LOOKUP($D$5,EV!$B$16:$B$23,EV!$C$16:$C$23),IF(AND($D$6="Femme",$D$7="Moyen"),LOOKUP($D$5,EV!$B$16:$B$23,EV!$D$16:$D$23),IF(AND($D$6="Neutre",$D$7="Moyen"),LOOKUP($D$5,EV!$B$16:$B$23,EV!$E$16:$E$23),IF(AND($D$6="Homme",$D$7="Cadre"),LOOKUP($D$5,EV!$B$16:$B$23,EV!$F$16:$F$23),IF(AND($D$6="Femme",$D$7="Cadre"),LOOKUP($D$5,EV!$B$16:$B$23,EV!$G$16:$G$23),IF(AND($D$6="Neutre",$D$7="Cadre"),LOOKUP($D$5,EV!$B$16:$B$23,EV!$H$16:$H$23),IF(AND($D$6="Homme",$D$7="Ouvrier"),LOOKUP($D$5,EV!$B$16:$B$23,EV!$I$16:$I$23),IF(AND($D$6="Femme",$D$7="Ouvrier"),LOOKUP($D$5,EV!$B$16:$B$23,EV!$J$16:$J$23),LOOKUP($D$5,EV!$B$16:$B$23,EV!$K$16:$K$23)))))))))</f>
        <v>91.05329307138409</v>
      </c>
      <c r="I8" s="783"/>
      <c r="J8" s="774"/>
      <c r="L8" s="773">
        <f>IF(AND($D$6="Homme",$D$7="Moyen"),LOOKUP($D$5,EV!$B$16:$B$23,EV!$C$16:$C$23),IF(AND($D$6="Femme",$D$7="Moyen"),LOOKUP($D$5,EV!$B$16:$B$23,EV!$D$16:$D$23),IF(AND($D$6="Neutre",$D$7="Moyen"),LOOKUP($D$5,EV!$B$16:$B$23,EV!$E$16:$E$23),IF(AND($D$6="Homme",$D$7="Cadre"),LOOKUP($D$5,EV!$B$16:$B$23,EV!$F$16:$F$23),IF(AND($D$6="Femme",$D$7="Cadre"),LOOKUP($D$5,EV!$B$16:$B$23,EV!$G$16:$G$23),IF(AND($D$6="Neutre",$D$7="Cadre"),LOOKUP($D$5,EV!$B$16:$B$23,EV!$H$16:$H$23),IF(AND($D$6="Homme",$D$7="Ouvrier"),LOOKUP($D$5,EV!$B$16:$B$23,EV!$I$16:$I$23),IF(AND($D$6="Femme",$D$7="Ouvrier"),LOOKUP($D$5,EV!$B$16:$B$23,EV!$J$16:$J$23),LOOKUP($D$5,EV!$B$16:$B$23,EV!$K$16:$K$23)))))))))</f>
        <v>91.05329307138409</v>
      </c>
      <c r="M8" s="783"/>
      <c r="N8" s="774"/>
    </row>
    <row r="9" spans="1:14" s="43" customFormat="1" ht="15.75" customHeight="1" thickBot="1" x14ac:dyDescent="0.3">
      <c r="A9" s="46"/>
      <c r="B9" s="138"/>
      <c r="C9" s="135"/>
      <c r="D9" s="139"/>
      <c r="E9" s="139"/>
      <c r="F9" s="139"/>
      <c r="G9" s="92"/>
      <c r="H9" s="139"/>
      <c r="I9" s="139"/>
      <c r="J9" s="139"/>
      <c r="L9" s="139"/>
      <c r="M9" s="139"/>
      <c r="N9" s="139"/>
    </row>
    <row r="10" spans="1:14" s="43" customFormat="1" ht="15.75" customHeight="1" x14ac:dyDescent="0.3">
      <c r="A10" s="46"/>
      <c r="B10" s="138"/>
      <c r="C10" s="135"/>
      <c r="D10" s="784" t="s">
        <v>149</v>
      </c>
      <c r="E10" s="785"/>
      <c r="F10" s="785"/>
      <c r="G10" s="785"/>
      <c r="H10" s="785"/>
      <c r="I10" s="785"/>
      <c r="J10" s="785"/>
      <c r="K10" s="785"/>
      <c r="L10" s="785"/>
      <c r="M10" s="785"/>
      <c r="N10" s="786"/>
    </row>
    <row r="11" spans="1:14" s="43" customFormat="1" ht="15.75" customHeight="1" x14ac:dyDescent="0.3">
      <c r="A11" s="46"/>
      <c r="B11" s="138"/>
      <c r="C11" s="135"/>
      <c r="D11" s="154"/>
      <c r="E11" s="155"/>
      <c r="F11" s="155"/>
      <c r="G11" s="155"/>
      <c r="H11" s="155"/>
      <c r="I11" s="155"/>
      <c r="J11" s="155"/>
      <c r="K11" s="155"/>
      <c r="L11" s="155"/>
      <c r="M11" s="155"/>
      <c r="N11" s="156"/>
    </row>
    <row r="12" spans="1:14" ht="15.75" customHeight="1" x14ac:dyDescent="0.25">
      <c r="D12" s="157"/>
      <c r="E12" s="158" t="s">
        <v>144</v>
      </c>
      <c r="F12" s="159">
        <f ca="1">D17/F17</f>
        <v>1.8173549649900627</v>
      </c>
      <c r="G12" s="160"/>
      <c r="H12" s="160"/>
      <c r="I12" s="158" t="s">
        <v>144</v>
      </c>
      <c r="J12" s="159">
        <f>H17/J17</f>
        <v>2.1920311068689147</v>
      </c>
      <c r="K12" s="160"/>
      <c r="L12" s="160"/>
      <c r="M12" s="158" t="s">
        <v>144</v>
      </c>
      <c r="N12" s="161">
        <f ca="1">L17/N17</f>
        <v>1.1535874463091467</v>
      </c>
    </row>
    <row r="13" spans="1:14" ht="15.75" customHeight="1" thickBot="1" x14ac:dyDescent="0.3">
      <c r="D13" s="162"/>
      <c r="E13" s="163" t="s">
        <v>145</v>
      </c>
      <c r="F13" s="164">
        <f ca="1">E17/F17</f>
        <v>1.64781345669218</v>
      </c>
      <c r="G13" s="165"/>
      <c r="H13" s="165"/>
      <c r="I13" s="163" t="s">
        <v>145</v>
      </c>
      <c r="J13" s="164">
        <f ca="1">I17/J17</f>
        <v>1.992556276143844</v>
      </c>
      <c r="K13" s="165"/>
      <c r="L13" s="165"/>
      <c r="M13" s="163" t="s">
        <v>145</v>
      </c>
      <c r="N13" s="166">
        <f ca="1">M17/N17</f>
        <v>1.0370751142319232</v>
      </c>
    </row>
    <row r="14" spans="1:14" ht="15.75" customHeight="1" thickBot="1" x14ac:dyDescent="0.3">
      <c r="E14" s="140"/>
      <c r="F14" s="145"/>
      <c r="I14" s="140"/>
      <c r="J14" s="145"/>
      <c r="M14" s="140"/>
      <c r="N14" s="145"/>
    </row>
    <row r="15" spans="1:14" ht="15.75" customHeight="1" x14ac:dyDescent="0.25">
      <c r="D15" s="117" t="s">
        <v>105</v>
      </c>
      <c r="E15" s="118" t="s">
        <v>106</v>
      </c>
      <c r="F15" s="119" t="s">
        <v>33</v>
      </c>
      <c r="H15" s="117" t="s">
        <v>105</v>
      </c>
      <c r="I15" s="118" t="s">
        <v>106</v>
      </c>
      <c r="J15" s="119" t="s">
        <v>33</v>
      </c>
      <c r="L15" s="117" t="s">
        <v>105</v>
      </c>
      <c r="M15" s="118" t="s">
        <v>106</v>
      </c>
      <c r="N15" s="119" t="s">
        <v>33</v>
      </c>
    </row>
    <row r="16" spans="1:14" ht="15.75" customHeight="1" thickBot="1" x14ac:dyDescent="0.3">
      <c r="C16" s="144"/>
      <c r="D16" s="142" t="s">
        <v>141</v>
      </c>
      <c r="E16" s="141" t="s">
        <v>142</v>
      </c>
      <c r="F16" s="143" t="s">
        <v>143</v>
      </c>
      <c r="H16" s="142" t="s">
        <v>141</v>
      </c>
      <c r="I16" s="141" t="s">
        <v>142</v>
      </c>
      <c r="J16" s="143" t="s">
        <v>143</v>
      </c>
      <c r="L16" s="142" t="s">
        <v>141</v>
      </c>
      <c r="M16" s="141" t="s">
        <v>142</v>
      </c>
      <c r="N16" s="143" t="s">
        <v>143</v>
      </c>
    </row>
    <row r="17" spans="1:15" s="4" customFormat="1" ht="15.75" customHeight="1" thickBot="1" x14ac:dyDescent="0.3">
      <c r="A17" s="122" t="s">
        <v>140</v>
      </c>
      <c r="B17" s="281" t="s">
        <v>139</v>
      </c>
      <c r="C17" s="135"/>
      <c r="D17" s="173">
        <f ca="1">SUM(D18:D101)/SUM($B18:$B101)</f>
        <v>0.49265811930301245</v>
      </c>
      <c r="E17" s="174">
        <f ca="1">SUM(E18:E101)/SUM($B18:$B101)</f>
        <v>0.4466979176743297</v>
      </c>
      <c r="F17" s="175">
        <f>SUM(F18:F101)/SUM($B18:$B101)</f>
        <v>0.27108524685253566</v>
      </c>
      <c r="G17" s="172"/>
      <c r="H17" s="173">
        <f>SUM(H18:H101)/SUM($B18:$B101)</f>
        <v>0.37982684209213669</v>
      </c>
      <c r="I17" s="174">
        <f ca="1">SUM(I18:I101)/SUM($B18:$B101)</f>
        <v>0.34526259946175231</v>
      </c>
      <c r="J17" s="175">
        <f>SUM(J18:J101)/SUM(B18:B101)</f>
        <v>0.17327620985939349</v>
      </c>
      <c r="K17" s="172"/>
      <c r="L17" s="173">
        <f ca="1">SUM(L18:L101)/SUM($B18:$B101)</f>
        <v>0.11283127721087577</v>
      </c>
      <c r="M17" s="174">
        <f ca="1">SUM(M18:M101)/SUM($B18:$B101)</f>
        <v>0.10143531821257736</v>
      </c>
      <c r="N17" s="175">
        <f>SUM(N18:N101)/SUM(B18:B101)</f>
        <v>9.7809036993142209E-2</v>
      </c>
    </row>
    <row r="18" spans="1:15" s="43" customFormat="1" ht="15.75" customHeight="1" x14ac:dyDescent="0.25">
      <c r="A18" s="147">
        <f>TRI_prix!A12</f>
        <v>2017</v>
      </c>
      <c r="B18" s="130">
        <f>Cot_droits!C17/LOOKUP($A18,Barèmes!$A$65:$A$148,Barèmes!$C$65:$C$148)</f>
        <v>0</v>
      </c>
      <c r="C18" s="135"/>
      <c r="D18" s="129">
        <f>IF($A18&lt;$D$5+$D$4,0,IF(AND($A18&gt;=$D$5,$A18&lt;=INT($D$8)-1+$D$4),LOOKUP($A18,Retraite!$A$7:$A$47,Retraite!$K$7:$K$47)/LOOKUP($A18,Barèmes!$A$65:$A$148,Barèmes!$C$65:$C$148),IF($A18=INT($D$8+$D$4),(LOOKUP($A18,Retraite!$A$7:$A$47,Retraite!$K$7:$K$47)/LOOKUP($A18,Barèmes!$A$65:$A$148,Barèmes!$C$65:$C$148))*(1-(INT($D$8)+1-$D$8)),0)))</f>
        <v>0</v>
      </c>
      <c r="E18" s="150">
        <f>IF($A18&lt;$D$5+$D$4,0,IF(AND($A18&gt;=$D$5,$A18&lt;=INT($D$8)-1+$D$4),LOOKUP($A18,Retraite!$A$7:$A$47,Retraite!$N$7:$N$47)/LOOKUP($A18,Barèmes!$A$65:$A$148,Barèmes!$C$65:$C$148),IF($A18=INT($D$8+$D$4),(LOOKUP($A18,Retraite!$A$7:$A$47,Retraite!$N$7:$N$47)/LOOKUP($A18,Barèmes!$A$65:$A$148,Barèmes!$C$65:$C$148))*(1-(INT($D$8)+1-$D$8)),0)))</f>
        <v>0</v>
      </c>
      <c r="F18" s="130">
        <f>IF($A18&lt;$D$5+$D$4,LOOKUP($A18,Cot_droits!$A$17:$A$68,Cot_droits!$Q$17:$Q$68)/LOOKUP($A18,Barèmes!$A$65:$A$148,Barèmes!$C$65:$C$148),0)</f>
        <v>0</v>
      </c>
      <c r="G18" s="146"/>
      <c r="H18" s="129">
        <f>IF($A18&lt;$D$5+$D$4,0,IF(AND($A18&gt;=$D$5,$A18&lt;=INT($D$8)-1+$D$4),LOOKUP($A18,Retraite!$A$7:$A$47,Retraite!$L$7:$L$47)/LOOKUP($A18,Barèmes!$A$65:$A$148,Barèmes!$C$65:$C$148),IF($A18=INT($D$8+$D$4),(LOOKUP($A18,Retraite!$A$7:$A$47,Retraite!$L$7:$L$47)/LOOKUP($A18,Barèmes!$A$65:$A$148,Barèmes!$C$65:$C$148))*(1-(INT($D$8)+1-$D$8)),0)))</f>
        <v>0</v>
      </c>
      <c r="I18" s="150">
        <f>IF($A18&lt;$D$5+$D$4,0,IF(AND($A18&gt;=$D$5,$A18&lt;=INT($D$8)-1+$D$4),LOOKUP($A18,Retraite!$A$7:$A$47,Retraite!$P$7:$P$47)/LOOKUP($A18,Barèmes!$A$65:$A$148,Barèmes!$C$65:$C$148),IF($A18=INT($D$8+$D$4),(LOOKUP($A18,Retraite!$A$7:$A$47,Retraite!$P$7:$P$47)/LOOKUP($A18,Barèmes!$A$65:$A$148,Barèmes!$C$65:$C$148))*(1-(INT($D$8)+1-$D$8)),0)))</f>
        <v>0</v>
      </c>
      <c r="J18" s="130">
        <f>IF($A18&lt;$D$5+$D$4,(LOOKUP($A18,Cot_droits!$A$17:$A$68,Cot_droits!$H$17:$H$68)+LOOKUP($A18,Cot_droits!$A$17:$A$68,Cot_droits!$L$17:$L$68))/LOOKUP($A18,Barèmes!$A$65:$A$148,Barèmes!$C$65:$C$148),0)</f>
        <v>0</v>
      </c>
      <c r="K18" s="146"/>
      <c r="L18" s="129">
        <f>IF($A18&lt;$D$5+$D$4,0,IF(AND($A18&gt;=$D$5,$A18&lt;=INT($D$8)-1+$D$4),LOOKUP($A18,Retraite!$A$7:$A$47,Retraite!$M$7:$M$47)/LOOKUP($A18,Barèmes!$A$65:$A$148,Barèmes!$C$65:$C$148),IF($A18=INT($D$8+$D$4),(LOOKUP($A18,Retraite!$A$7:$A$47,Retraite!$M$7:$M$47)/LOOKUP($A18,Barèmes!$A$65:$A$148,Barèmes!$C$65:$C$148))*(1-(INT($D$8)+1-$D$8)),0)))</f>
        <v>0</v>
      </c>
      <c r="M18" s="150">
        <f>IF($A18&lt;$D$5+$D$4,0,IF(AND($A18&gt;=$D$5,$A18&lt;=INT($D$8)-1+$D$4),LOOKUP($A18,Retraite!$A$7:$A$47,Retraite!$Q$7:$Q$47)/LOOKUP($A18,Barèmes!$A$65:$A$148,Barèmes!$C$65:$C$148),IF($A18=INT($D$8+$D$4),(LOOKUP($A18,Retraite!$A$7:$A$47,Retraite!$Q$7:$Q$47)/LOOKUP($A18,Barèmes!$A$65:$A$148,Barèmes!$C$65:$C$148))*(1-(INT($D$8)+1-$D$8)),0)))</f>
        <v>0</v>
      </c>
      <c r="N18" s="130">
        <f>IF($A18&lt;$D$5+$D$4,(LOOKUP($A18,Cot_droits!$A$17:$A$68,Cot_droits!$I$17:$I$68)+LOOKUP($A18,Cot_droits!$A$17:$A$68,Cot_droits!$J$17:$J$68)+LOOKUP($A18,Cot_droits!$A$17:$A$68,Cot_droits!$N$17:$N$68))/LOOKUP($A18,Barèmes!$A$65:$A$148,Barèmes!$C$65:$C$148),0)</f>
        <v>0</v>
      </c>
    </row>
    <row r="19" spans="1:15" s="43" customFormat="1" ht="15.75" customHeight="1" x14ac:dyDescent="0.25">
      <c r="A19" s="148">
        <f>TRI_prix!A13</f>
        <v>2018</v>
      </c>
      <c r="B19" s="121">
        <f>Cot_droits!C18/LOOKUP($A19,Barèmes!$A$65:$A$148,Barèmes!$C$65:$C$148)</f>
        <v>0</v>
      </c>
      <c r="C19" s="135"/>
      <c r="D19" s="131">
        <f>IF($A19&lt;$D$5+$D$4,0,IF(AND($A19&gt;=$D$5,$A19&lt;=INT($D$8)-1+$D$4),LOOKUP($A19,Retraite!$A$7:$A$47,Retraite!$K$7:$K$47)/LOOKUP($A19,Barèmes!$A$65:$A$148,Barèmes!$C$65:$C$148),IF($A19=INT($D$8+$D$4),(LOOKUP($A19,Retraite!$A$7:$A$47,Retraite!$K$7:$K$47)/LOOKUP($A19,Barèmes!$A$65:$A$148,Barèmes!$C$65:$C$148))*(1-(INT($D$8)+1-$D$8)),0)))</f>
        <v>0</v>
      </c>
      <c r="E19" s="151">
        <f>IF($A19&lt;$D$5+$D$4,0,IF(AND($A19&gt;=$D$5,$A19&lt;=INT($D$8)-1+$D$4),LOOKUP($A19,Retraite!$A$7:$A$47,Retraite!$N$7:$N$47)/LOOKUP($A19,Barèmes!$A$65:$A$148,Barèmes!$C$65:$C$148),IF($A19=INT($D$8+$D$4),(LOOKUP($A19,Retraite!$A$7:$A$47,Retraite!$N$7:$N$47)/LOOKUP($A19,Barèmes!$A$65:$A$148,Barèmes!$C$65:$C$148))*(1-(INT($D$8)+1-$D$8)),0)))</f>
        <v>0</v>
      </c>
      <c r="F19" s="121">
        <f>IF($A19&lt;$D$5+$D$4,LOOKUP($A19,Cot_droits!$A$17:$A$68,Cot_droits!$Q$17:$Q$68)/LOOKUP($A19,Barèmes!$A$65:$A$148,Barèmes!$C$65:$C$148),0)</f>
        <v>0</v>
      </c>
      <c r="H19" s="131">
        <f>IF($A19&lt;$D$5+$D$4,0,IF(AND($A19&gt;=$D$5,$A19&lt;=INT($D$8)-1+$D$4),LOOKUP($A19,Retraite!$A$7:$A$47,Retraite!$L$7:$L$47)/LOOKUP($A19,Barèmes!$A$65:$A$148,Barèmes!$C$65:$C$148),IF($A19=INT($D$8+$D$4),(LOOKUP($A19,Retraite!$A$7:$A$47,Retraite!$L$7:$L$47)/LOOKUP($A19,Barèmes!$A$65:$A$148,Barèmes!$C$65:$C$148))*(1-(INT($D$8)+1-$D$8)),0)))</f>
        <v>0</v>
      </c>
      <c r="I19" s="151">
        <f>IF($A19&lt;$D$5+$D$4,0,IF(AND($A19&gt;=$D$5,$A19&lt;=INT($D$8)-1+$D$4),LOOKUP($A19,Retraite!$A$7:$A$47,Retraite!$P$7:$P$47)/LOOKUP($A19,Barèmes!$A$65:$A$148,Barèmes!$C$65:$C$148),IF($A19=INT($D$8+$D$4),(LOOKUP($A19,Retraite!$A$7:$A$47,Retraite!$P$7:$P$47)/LOOKUP($A19,Barèmes!$A$65:$A$148,Barèmes!$C$65:$C$148))*(1-(INT($D$8)+1-$D$8)),0)))</f>
        <v>0</v>
      </c>
      <c r="J19" s="121">
        <f>IF($A19&lt;$D$5+$D$4,(LOOKUP($A19,Cot_droits!$A$17:$A$68,Cot_droits!$H$17:$H$68)+LOOKUP($A19,Cot_droits!$A$17:$A$68,Cot_droits!$L$17:$L$68))/LOOKUP($A19,Barèmes!$A$65:$A$148,Barèmes!$C$65:$C$148),0)</f>
        <v>0</v>
      </c>
      <c r="L19" s="131">
        <f>IF($A19&lt;$D$5+$D$4,0,IF(AND($A19&gt;=$D$5,$A19&lt;=INT($D$8)-1+$D$4),LOOKUP($A19,Retraite!$A$7:$A$47,Retraite!$M$7:$M$47)/LOOKUP($A19,Barèmes!$A$65:$A$148,Barèmes!$C$65:$C$148),IF($A19=INT($D$8+$D$4),(LOOKUP($A19,Retraite!$A$7:$A$47,Retraite!$M$7:$M$47)/LOOKUP($A19,Barèmes!$A$65:$A$148,Barèmes!$C$65:$C$148))*(1-(INT($D$8)+1-$D$8)),0)))</f>
        <v>0</v>
      </c>
      <c r="M19" s="151">
        <f>IF($A19&lt;$D$5+$D$4,0,IF(AND($A19&gt;=$D$5,$A19&lt;=INT($D$8)-1+$D$4),LOOKUP($A19,Retraite!$A$7:$A$47,Retraite!$Q$7:$Q$47)/LOOKUP($A19,Barèmes!$A$65:$A$148,Barèmes!$C$65:$C$148),IF($A19=INT($D$8+$D$4),(LOOKUP($A19,Retraite!$A$7:$A$47,Retraite!$Q$7:$Q$47)/LOOKUP($A19,Barèmes!$A$65:$A$148,Barèmes!$C$65:$C$148))*(1-(INT($D$8)+1-$D$8)),0)))</f>
        <v>0</v>
      </c>
      <c r="N19" s="121">
        <f>IF($A19&lt;$D$5+$D$4,(LOOKUP($A19,Cot_droits!$A$17:$A$68,Cot_droits!$I$17:$I$68)+LOOKUP($A19,Cot_droits!$A$17:$A$68,Cot_droits!$J$17:$J$68)+LOOKUP($A19,Cot_droits!$A$17:$A$68,Cot_droits!$N$17:$N$68))/LOOKUP($A19,Barèmes!$A$65:$A$148,Barèmes!$C$65:$C$148),0)</f>
        <v>0</v>
      </c>
    </row>
    <row r="20" spans="1:15" s="43" customFormat="1" ht="15.75" customHeight="1" x14ac:dyDescent="0.25">
      <c r="A20" s="148">
        <f>TRI_prix!A14</f>
        <v>2019</v>
      </c>
      <c r="B20" s="121">
        <f>Cot_droits!C19/LOOKUP($A20,Barèmes!$A$65:$A$148,Barèmes!$C$65:$C$148)</f>
        <v>0</v>
      </c>
      <c r="C20" s="135"/>
      <c r="D20" s="131">
        <f>IF($A20&lt;$D$5+$D$4,0,IF(AND($A20&gt;=$D$5,$A20&lt;=INT($D$8)-1+$D$4),LOOKUP($A20,Retraite!$A$7:$A$47,Retraite!$K$7:$K$47)/LOOKUP($A20,Barèmes!$A$65:$A$148,Barèmes!$C$65:$C$148),IF($A20=INT($D$8+$D$4),(LOOKUP($A20,Retraite!$A$7:$A$47,Retraite!$K$7:$K$47)/LOOKUP($A20,Barèmes!$A$65:$A$148,Barèmes!$C$65:$C$148))*(1-(INT($D$8)+1-$D$8)),0)))</f>
        <v>0</v>
      </c>
      <c r="E20" s="151">
        <f>IF($A20&lt;$D$5+$D$4,0,IF(AND($A20&gt;=$D$5,$A20&lt;=INT($D$8)-1+$D$4),LOOKUP($A20,Retraite!$A$7:$A$47,Retraite!$N$7:$N$47)/LOOKUP($A20,Barèmes!$A$65:$A$148,Barèmes!$C$65:$C$148),IF($A20=INT($D$8+$D$4),(LOOKUP($A20,Retraite!$A$7:$A$47,Retraite!$N$7:$N$47)/LOOKUP($A20,Barèmes!$A$65:$A$148,Barèmes!$C$65:$C$148))*(1-(INT($D$8)+1-$D$8)),0)))</f>
        <v>0</v>
      </c>
      <c r="F20" s="121">
        <f>IF($A20&lt;$D$5+$D$4,LOOKUP($A20,Cot_droits!$A$17:$A$68,Cot_droits!$Q$17:$Q$68)/LOOKUP($A20,Barèmes!$A$65:$A$148,Barèmes!$C$65:$C$148),0)</f>
        <v>0</v>
      </c>
      <c r="H20" s="131">
        <f>IF($A20&lt;$D$5+$D$4,0,IF(AND($A20&gt;=$D$5,$A20&lt;=INT($D$8)-1+$D$4),LOOKUP($A20,Retraite!$A$7:$A$47,Retraite!$L$7:$L$47)/LOOKUP($A20,Barèmes!$A$65:$A$148,Barèmes!$C$65:$C$148),IF($A20=INT($D$8+$D$4),(LOOKUP($A20,Retraite!$A$7:$A$47,Retraite!$L$7:$L$47)/LOOKUP($A20,Barèmes!$A$65:$A$148,Barèmes!$C$65:$C$148))*(1-(INT($D$8)+1-$D$8)),0)))</f>
        <v>0</v>
      </c>
      <c r="I20" s="151">
        <f>IF($A20&lt;$D$5+$D$4,0,IF(AND($A20&gt;=$D$5,$A20&lt;=INT($D$8)-1+$D$4),LOOKUP($A20,Retraite!$A$7:$A$47,Retraite!$P$7:$P$47)/LOOKUP($A20,Barèmes!$A$65:$A$148,Barèmes!$C$65:$C$148),IF($A20=INT($D$8+$D$4),(LOOKUP($A20,Retraite!$A$7:$A$47,Retraite!$P$7:$P$47)/LOOKUP($A20,Barèmes!$A$65:$A$148,Barèmes!$C$65:$C$148))*(1-(INT($D$8)+1-$D$8)),0)))</f>
        <v>0</v>
      </c>
      <c r="J20" s="121">
        <f>IF($A20&lt;$D$5+$D$4,(LOOKUP($A20,Cot_droits!$A$17:$A$68,Cot_droits!$H$17:$H$68)+LOOKUP($A20,Cot_droits!$A$17:$A$68,Cot_droits!$L$17:$L$68))/LOOKUP($A20,Barèmes!$A$65:$A$148,Barèmes!$C$65:$C$148),0)</f>
        <v>0</v>
      </c>
      <c r="L20" s="131">
        <f>IF($A20&lt;$D$5+$D$4,0,IF(AND($A20&gt;=$D$5,$A20&lt;=INT($D$8)-1+$D$4),LOOKUP($A20,Retraite!$A$7:$A$47,Retraite!$M$7:$M$47)/LOOKUP($A20,Barèmes!$A$65:$A$148,Barèmes!$C$65:$C$148),IF($A20=INT($D$8+$D$4),(LOOKUP($A20,Retraite!$A$7:$A$47,Retraite!$M$7:$M$47)/LOOKUP($A20,Barèmes!$A$65:$A$148,Barèmes!$C$65:$C$148))*(1-(INT($D$8)+1-$D$8)),0)))</f>
        <v>0</v>
      </c>
      <c r="M20" s="151">
        <f>IF($A20&lt;$D$5+$D$4,0,IF(AND($A20&gt;=$D$5,$A20&lt;=INT($D$8)-1+$D$4),LOOKUP($A20,Retraite!$A$7:$A$47,Retraite!$Q$7:$Q$47)/LOOKUP($A20,Barèmes!$A$65:$A$148,Barèmes!$C$65:$C$148),IF($A20=INT($D$8+$D$4),(LOOKUP($A20,Retraite!$A$7:$A$47,Retraite!$Q$7:$Q$47)/LOOKUP($A20,Barèmes!$A$65:$A$148,Barèmes!$C$65:$C$148))*(1-(INT($D$8)+1-$D$8)),0)))</f>
        <v>0</v>
      </c>
      <c r="N20" s="121">
        <f>IF($A20&lt;$D$5+$D$4,(LOOKUP($A20,Cot_droits!$A$17:$A$68,Cot_droits!$I$17:$I$68)+LOOKUP($A20,Cot_droits!$A$17:$A$68,Cot_droits!$J$17:$J$68)+LOOKUP($A20,Cot_droits!$A$17:$A$68,Cot_droits!$N$17:$N$68))/LOOKUP($A20,Barèmes!$A$65:$A$148,Barèmes!$C$65:$C$148),0)</f>
        <v>0</v>
      </c>
    </row>
    <row r="21" spans="1:15" s="43" customFormat="1" ht="15.75" customHeight="1" x14ac:dyDescent="0.25">
      <c r="A21" s="148">
        <f>TRI_prix!A15</f>
        <v>2020</v>
      </c>
      <c r="B21" s="121">
        <f>Cot_droits!C20/LOOKUP($A21,Barèmes!$A$65:$A$148,Barèmes!$C$65:$C$148)</f>
        <v>0</v>
      </c>
      <c r="C21" s="135"/>
      <c r="D21" s="131">
        <f>IF($A21&lt;$D$5+$D$4,0,IF(AND($A21&gt;=$D$5,$A21&lt;=INT($D$8)-1+$D$4),LOOKUP($A21,Retraite!$A$7:$A$47,Retraite!$K$7:$K$47)/LOOKUP($A21,Barèmes!$A$65:$A$148,Barèmes!$C$65:$C$148),IF($A21=INT($D$8+$D$4),(LOOKUP($A21,Retraite!$A$7:$A$47,Retraite!$K$7:$K$47)/LOOKUP($A21,Barèmes!$A$65:$A$148,Barèmes!$C$65:$C$148))*(1-(INT($D$8)+1-$D$8)),0)))</f>
        <v>0</v>
      </c>
      <c r="E21" s="151">
        <f>IF($A21&lt;$D$5+$D$4,0,IF(AND($A21&gt;=$D$5,$A21&lt;=INT($D$8)-1+$D$4),LOOKUP($A21,Retraite!$A$7:$A$47,Retraite!$N$7:$N$47)/LOOKUP($A21,Barèmes!$A$65:$A$148,Barèmes!$C$65:$C$148),IF($A21=INT($D$8+$D$4),(LOOKUP($A21,Retraite!$A$7:$A$47,Retraite!$N$7:$N$47)/LOOKUP($A21,Barèmes!$A$65:$A$148,Barèmes!$C$65:$C$148))*(1-(INT($D$8)+1-$D$8)),0)))</f>
        <v>0</v>
      </c>
      <c r="F21" s="121">
        <f>IF($A21&lt;$D$5+$D$4,LOOKUP($A21,Cot_droits!$A$17:$A$68,Cot_droits!$Q$17:$Q$68)/LOOKUP($A21,Barèmes!$A$65:$A$148,Barèmes!$C$65:$C$148),0)</f>
        <v>0</v>
      </c>
      <c r="H21" s="131">
        <f>IF($A21&lt;$D$5+$D$4,0,IF(AND($A21&gt;=$D$5,$A21&lt;=INT($D$8)-1+$D$4),LOOKUP($A21,Retraite!$A$7:$A$47,Retraite!$L$7:$L$47)/LOOKUP($A21,Barèmes!$A$65:$A$148,Barèmes!$C$65:$C$148),IF($A21=INT($D$8+$D$4),(LOOKUP($A21,Retraite!$A$7:$A$47,Retraite!$L$7:$L$47)/LOOKUP($A21,Barèmes!$A$65:$A$148,Barèmes!$C$65:$C$148))*(1-(INT($D$8)+1-$D$8)),0)))</f>
        <v>0</v>
      </c>
      <c r="I21" s="151">
        <f>IF($A21&lt;$D$5+$D$4,0,IF(AND($A21&gt;=$D$5,$A21&lt;=INT($D$8)-1+$D$4),LOOKUP($A21,Retraite!$A$7:$A$47,Retraite!$P$7:$P$47)/LOOKUP($A21,Barèmes!$A$65:$A$148,Barèmes!$C$65:$C$148),IF($A21=INT($D$8+$D$4),(LOOKUP($A21,Retraite!$A$7:$A$47,Retraite!$P$7:$P$47)/LOOKUP($A21,Barèmes!$A$65:$A$148,Barèmes!$C$65:$C$148))*(1-(INT($D$8)+1-$D$8)),0)))</f>
        <v>0</v>
      </c>
      <c r="J21" s="121">
        <f>IF($A21&lt;$D$5+$D$4,(LOOKUP($A21,Cot_droits!$A$17:$A$68,Cot_droits!$H$17:$H$68)+LOOKUP($A21,Cot_droits!$A$17:$A$68,Cot_droits!$L$17:$L$68))/LOOKUP($A21,Barèmes!$A$65:$A$148,Barèmes!$C$65:$C$148),0)</f>
        <v>0</v>
      </c>
      <c r="L21" s="131">
        <f>IF($A21&lt;$D$5+$D$4,0,IF(AND($A21&gt;=$D$5,$A21&lt;=INT($D$8)-1+$D$4),LOOKUP($A21,Retraite!$A$7:$A$47,Retraite!$M$7:$M$47)/LOOKUP($A21,Barèmes!$A$65:$A$148,Barèmes!$C$65:$C$148),IF($A21=INT($D$8+$D$4),(LOOKUP($A21,Retraite!$A$7:$A$47,Retraite!$M$7:$M$47)/LOOKUP($A21,Barèmes!$A$65:$A$148,Barèmes!$C$65:$C$148))*(1-(INT($D$8)+1-$D$8)),0)))</f>
        <v>0</v>
      </c>
      <c r="M21" s="151">
        <f>IF($A21&lt;$D$5+$D$4,0,IF(AND($A21&gt;=$D$5,$A21&lt;=INT($D$8)-1+$D$4),LOOKUP($A21,Retraite!$A$7:$A$47,Retraite!$Q$7:$Q$47)/LOOKUP($A21,Barèmes!$A$65:$A$148,Barèmes!$C$65:$C$148),IF($A21=INT($D$8+$D$4),(LOOKUP($A21,Retraite!$A$7:$A$47,Retraite!$Q$7:$Q$47)/LOOKUP($A21,Barèmes!$A$65:$A$148,Barèmes!$C$65:$C$148))*(1-(INT($D$8)+1-$D$8)),0)))</f>
        <v>0</v>
      </c>
      <c r="N21" s="121">
        <f>IF($A21&lt;$D$5+$D$4,(LOOKUP($A21,Cot_droits!$A$17:$A$68,Cot_droits!$I$17:$I$68)+LOOKUP($A21,Cot_droits!$A$17:$A$68,Cot_droits!$J$17:$J$68)+LOOKUP($A21,Cot_droits!$A$17:$A$68,Cot_droits!$N$17:$N$68))/LOOKUP($A21,Barèmes!$A$65:$A$148,Barèmes!$C$65:$C$148),0)</f>
        <v>0</v>
      </c>
    </row>
    <row r="22" spans="1:15" s="43" customFormat="1" ht="15.75" customHeight="1" x14ac:dyDescent="0.25">
      <c r="A22" s="148">
        <f>TRI_prix!A16</f>
        <v>2021</v>
      </c>
      <c r="B22" s="121">
        <f>Cot_droits!C21/LOOKUP($A22,Barèmes!$A$65:$A$148,Barèmes!$C$65:$C$148)</f>
        <v>14528.510636454192</v>
      </c>
      <c r="C22" s="135"/>
      <c r="D22" s="131">
        <f>IF($A22&lt;$D$5+$D$4,0,IF(AND($A22&gt;=$D$5,$A22&lt;=INT($D$8)-1+$D$4),LOOKUP($A22,Retraite!$A$7:$A$47,Retraite!$K$7:$K$47)/LOOKUP($A22,Barèmes!$A$65:$A$148,Barèmes!$C$65:$C$148),IF($A22=INT($D$8+$D$4),(LOOKUP($A22,Retraite!$A$7:$A$47,Retraite!$K$7:$K$47)/LOOKUP($A22,Barèmes!$A$65:$A$148,Barèmes!$C$65:$C$148))*(1-(INT($D$8)+1-$D$8)),0)))</f>
        <v>0</v>
      </c>
      <c r="E22" s="151">
        <f>IF($A22&lt;$D$5+$D$4,0,IF(AND($A22&gt;=$D$5,$A22&lt;=INT($D$8)-1+$D$4),LOOKUP($A22,Retraite!$A$7:$A$47,Retraite!$N$7:$N$47)/LOOKUP($A22,Barèmes!$A$65:$A$148,Barèmes!$C$65:$C$148),IF($A22=INT($D$8+$D$4),(LOOKUP($A22,Retraite!$A$7:$A$47,Retraite!$N$7:$N$47)/LOOKUP($A22,Barèmes!$A$65:$A$148,Barèmes!$C$65:$C$148))*(1-(INT($D$8)+1-$D$8)),0)))</f>
        <v>0</v>
      </c>
      <c r="F22" s="121">
        <f>IF($A22&lt;$D$5+$D$4,LOOKUP($A22,Cot_droits!$A$17:$A$68,Cot_droits!$Q$17:$Q$68)/LOOKUP($A22,Barèmes!$A$65:$A$148,Barèmes!$C$65:$C$148),0)</f>
        <v>1643.116438940423</v>
      </c>
      <c r="H22" s="131">
        <f>IF($A22&lt;$D$5+$D$4,0,IF(AND($A22&gt;=$D$5,$A22&lt;=INT($D$8)-1+$D$4),LOOKUP($A22,Retraite!$A$7:$A$47,Retraite!$L$7:$L$47)/LOOKUP($A22,Barèmes!$A$65:$A$148,Barèmes!$C$65:$C$148),IF($A22=INT($D$8+$D$4),(LOOKUP($A22,Retraite!$A$7:$A$47,Retraite!$L$7:$L$47)/LOOKUP($A22,Barèmes!$A$65:$A$148,Barèmes!$C$65:$C$148))*(1-(INT($D$8)+1-$D$8)),0)))</f>
        <v>0</v>
      </c>
      <c r="I22" s="151">
        <f>IF($A22&lt;$D$5+$D$4,0,IF(AND($A22&gt;=$D$5,$A22&lt;=INT($D$8)-1+$D$4),LOOKUP($A22,Retraite!$A$7:$A$47,Retraite!$P$7:$P$47)/LOOKUP($A22,Barèmes!$A$65:$A$148,Barèmes!$C$65:$C$148),IF($A22=INT($D$8+$D$4),(LOOKUP($A22,Retraite!$A$7:$A$47,Retraite!$P$7:$P$47)/LOOKUP($A22,Barèmes!$A$65:$A$148,Barèmes!$C$65:$C$148))*(1-(INT($D$8)+1-$D$8)),0)))</f>
        <v>0</v>
      </c>
      <c r="J22" s="121">
        <f>IF($A22&lt;$D$5+$D$4,(LOOKUP($A22,Cot_droits!$A$17:$A$68,Cot_droits!$H$17:$H$68)+LOOKUP($A22,Cot_droits!$A$17:$A$68,Cot_droits!$L$17:$L$68))/LOOKUP($A22,Barèmes!$A$65:$A$148,Barèmes!$C$65:$C$148),0)</f>
        <v>1060.581276461156</v>
      </c>
      <c r="L22" s="131">
        <f>IF($A22&lt;$D$5+$D$4,0,IF(AND($A22&gt;=$D$5,$A22&lt;=INT($D$8)-1+$D$4),LOOKUP($A22,Retraite!$A$7:$A$47,Retraite!$M$7:$M$47)/LOOKUP($A22,Barèmes!$A$65:$A$148,Barèmes!$C$65:$C$148),IF($A22=INT($D$8+$D$4),(LOOKUP($A22,Retraite!$A$7:$A$47,Retraite!$M$7:$M$47)/LOOKUP($A22,Barèmes!$A$65:$A$148,Barèmes!$C$65:$C$148))*(1-(INT($D$8)+1-$D$8)),0)))</f>
        <v>0</v>
      </c>
      <c r="M22" s="151">
        <f>IF($A22&lt;$D$5+$D$4,0,IF(AND($A22&gt;=$D$5,$A22&lt;=INT($D$8)-1+$D$4),LOOKUP($A22,Retraite!$A$7:$A$47,Retraite!$Q$7:$Q$47)/LOOKUP($A22,Barèmes!$A$65:$A$148,Barèmes!$C$65:$C$148),IF($A22=INT($D$8+$D$4),(LOOKUP($A22,Retraite!$A$7:$A$47,Retraite!$Q$7:$Q$47)/LOOKUP($A22,Barèmes!$A$65:$A$148,Barèmes!$C$65:$C$148))*(1-(INT($D$8)+1-$D$8)),0)))</f>
        <v>0</v>
      </c>
      <c r="N22" s="121">
        <f>IF($A22&lt;$D$5+$D$4,(LOOKUP($A22,Cot_droits!$A$17:$A$68,Cot_droits!$I$17:$I$68)+LOOKUP($A22,Cot_droits!$A$17:$A$68,Cot_droits!$J$17:$J$68)+LOOKUP($A22,Cot_droits!$A$17:$A$68,Cot_droits!$N$17:$N$68))/LOOKUP($A22,Barèmes!$A$65:$A$148,Barèmes!$C$65:$C$148),0)</f>
        <v>582.53516247926711</v>
      </c>
    </row>
    <row r="23" spans="1:15" s="43" customFormat="1" ht="15.75" customHeight="1" x14ac:dyDescent="0.25">
      <c r="A23" s="148">
        <f>TRI_prix!A17</f>
        <v>2022</v>
      </c>
      <c r="B23" s="121">
        <f>Cot_droits!C22/LOOKUP($A23,Barèmes!$A$65:$A$148,Barèmes!$C$65:$C$148)</f>
        <v>17231.741949955209</v>
      </c>
      <c r="C23" s="135"/>
      <c r="D23" s="131">
        <f>IF($A23&lt;$D$5+$D$4,0,IF(AND($A23&gt;=$D$5,$A23&lt;=INT($D$8)-1+$D$4),LOOKUP($A23,Retraite!$A$7:$A$47,Retraite!$K$7:$K$47)/LOOKUP($A23,Barèmes!$A$65:$A$148,Barèmes!$C$65:$C$148),IF($A23=INT($D$8+$D$4),(LOOKUP($A23,Retraite!$A$7:$A$47,Retraite!$K$7:$K$47)/LOOKUP($A23,Barèmes!$A$65:$A$148,Barèmes!$C$65:$C$148))*(1-(INT($D$8)+1-$D$8)),0)))</f>
        <v>0</v>
      </c>
      <c r="E23" s="151">
        <f>IF($A23&lt;$D$5+$D$4,0,IF(AND($A23&gt;=$D$5,$A23&lt;=INT($D$8)-1+$D$4),LOOKUP($A23,Retraite!$A$7:$A$47,Retraite!$N$7:$N$47)/LOOKUP($A23,Barèmes!$A$65:$A$148,Barèmes!$C$65:$C$148),IF($A23=INT($D$8+$D$4),(LOOKUP($A23,Retraite!$A$7:$A$47,Retraite!$N$7:$N$47)/LOOKUP($A23,Barèmes!$A$65:$A$148,Barèmes!$C$65:$C$148))*(1-(INT($D$8)+1-$D$8)),0)))</f>
        <v>0</v>
      </c>
      <c r="F23" s="121">
        <f>IF($A23&lt;$D$5+$D$4,LOOKUP($A23,Cot_droits!$A$17:$A$68,Cot_droits!$Q$17:$Q$68)/LOOKUP($A23,Barèmes!$A$65:$A$148,Barèmes!$C$65:$C$148),0)</f>
        <v>1948.841087572134</v>
      </c>
      <c r="H23" s="131">
        <f>IF($A23&lt;$D$5+$D$4,0,IF(AND($A23&gt;=$D$5,$A23&lt;=INT($D$8)-1+$D$4),LOOKUP($A23,Retraite!$A$7:$A$47,Retraite!$L$7:$L$47)/LOOKUP($A23,Barèmes!$A$65:$A$148,Barèmes!$C$65:$C$148),IF($A23=INT($D$8+$D$4),(LOOKUP($A23,Retraite!$A$7:$A$47,Retraite!$L$7:$L$47)/LOOKUP($A23,Barèmes!$A$65:$A$148,Barèmes!$C$65:$C$148))*(1-(INT($D$8)+1-$D$8)),0)))</f>
        <v>0</v>
      </c>
      <c r="I23" s="151">
        <f>IF($A23&lt;$D$5+$D$4,0,IF(AND($A23&gt;=$D$5,$A23&lt;=INT($D$8)-1+$D$4),LOOKUP($A23,Retraite!$A$7:$A$47,Retraite!$P$7:$P$47)/LOOKUP($A23,Barèmes!$A$65:$A$148,Barèmes!$C$65:$C$148),IF($A23=INT($D$8+$D$4),(LOOKUP($A23,Retraite!$A$7:$A$47,Retraite!$P$7:$P$47)/LOOKUP($A23,Barèmes!$A$65:$A$148,Barèmes!$C$65:$C$148))*(1-(INT($D$8)+1-$D$8)),0)))</f>
        <v>0</v>
      </c>
      <c r="J23" s="121">
        <f>IF($A23&lt;$D$5+$D$4,(LOOKUP($A23,Cot_droits!$A$17:$A$68,Cot_droits!$H$17:$H$68)+LOOKUP($A23,Cot_droits!$A$17:$A$68,Cot_droits!$L$17:$L$68))/LOOKUP($A23,Barèmes!$A$65:$A$148,Barèmes!$C$65:$C$148),0)</f>
        <v>1257.91716234673</v>
      </c>
      <c r="L23" s="131">
        <f>IF($A23&lt;$D$5+$D$4,0,IF(AND($A23&gt;=$D$5,$A23&lt;=INT($D$8)-1+$D$4),LOOKUP($A23,Retraite!$A$7:$A$47,Retraite!$M$7:$M$47)/LOOKUP($A23,Barèmes!$A$65:$A$148,Barèmes!$C$65:$C$148),IF($A23=INT($D$8+$D$4),(LOOKUP($A23,Retraite!$A$7:$A$47,Retraite!$M$7:$M$47)/LOOKUP($A23,Barèmes!$A$65:$A$148,Barèmes!$C$65:$C$148))*(1-(INT($D$8)+1-$D$8)),0)))</f>
        <v>0</v>
      </c>
      <c r="M23" s="151">
        <f>IF($A23&lt;$D$5+$D$4,0,IF(AND($A23&gt;=$D$5,$A23&lt;=INT($D$8)-1+$D$4),LOOKUP($A23,Retraite!$A$7:$A$47,Retraite!$Q$7:$Q$47)/LOOKUP($A23,Barèmes!$A$65:$A$148,Barèmes!$C$65:$C$148),IF($A23=INT($D$8+$D$4),(LOOKUP($A23,Retraite!$A$7:$A$47,Retraite!$Q$7:$Q$47)/LOOKUP($A23,Barèmes!$A$65:$A$148,Barèmes!$C$65:$C$148))*(1-(INT($D$8)+1-$D$8)),0)))</f>
        <v>0</v>
      </c>
      <c r="N23" s="121">
        <f>IF($A23&lt;$D$5+$D$4,(LOOKUP($A23,Cot_droits!$A$17:$A$68,Cot_droits!$I$17:$I$68)+LOOKUP($A23,Cot_droits!$A$17:$A$68,Cot_droits!$J$17:$J$68)+LOOKUP($A23,Cot_droits!$A$17:$A$68,Cot_droits!$N$17:$N$68))/LOOKUP($A23,Barèmes!$A$65:$A$148,Barèmes!$C$65:$C$148),0)</f>
        <v>690.92392522540399</v>
      </c>
    </row>
    <row r="24" spans="1:15" s="43" customFormat="1" ht="15.75" customHeight="1" x14ac:dyDescent="0.25">
      <c r="A24" s="148">
        <f>TRI_prix!A18</f>
        <v>2023</v>
      </c>
      <c r="B24" s="121">
        <f>Cot_droits!C23/LOOKUP($A24,Barèmes!$A$65:$A$148,Barèmes!$C$65:$C$148)</f>
        <v>21804.25810064064</v>
      </c>
      <c r="C24" s="135"/>
      <c r="D24" s="131">
        <f>IF($A24&lt;$D$5+$D$4,0,IF(AND($A24&gt;=$D$5,$A24&lt;=INT($D$8)-1+$D$4),LOOKUP($A24,Retraite!$A$7:$A$47,Retraite!$K$7:$K$47)/LOOKUP($A24,Barèmes!$A$65:$A$148,Barèmes!$C$65:$C$148),IF($A24=INT($D$8+$D$4),(LOOKUP($A24,Retraite!$A$7:$A$47,Retraite!$K$7:$K$47)/LOOKUP($A24,Barèmes!$A$65:$A$148,Barèmes!$C$65:$C$148))*(1-(INT($D$8)+1-$D$8)),0)))</f>
        <v>0</v>
      </c>
      <c r="E24" s="151">
        <f>IF($A24&lt;$D$5+$D$4,0,IF(AND($A24&gt;=$D$5,$A24&lt;=INT($D$8)-1+$D$4),LOOKUP($A24,Retraite!$A$7:$A$47,Retraite!$N$7:$N$47)/LOOKUP($A24,Barèmes!$A$65:$A$148,Barèmes!$C$65:$C$148),IF($A24=INT($D$8+$D$4),(LOOKUP($A24,Retraite!$A$7:$A$47,Retraite!$N$7:$N$47)/LOOKUP($A24,Barèmes!$A$65:$A$148,Barèmes!$C$65:$C$148))*(1-(INT($D$8)+1-$D$8)),0)))</f>
        <v>0</v>
      </c>
      <c r="F24" s="121">
        <f>IF($A24&lt;$D$5+$D$4,LOOKUP($A24,Cot_droits!$A$17:$A$68,Cot_droits!$Q$17:$Q$68)/LOOKUP($A24,Barèmes!$A$65:$A$148,Barèmes!$C$65:$C$148),0)</f>
        <v>3798.3992793968023</v>
      </c>
      <c r="G24" s="115"/>
      <c r="H24" s="131">
        <f>IF($A24&lt;$D$5+$D$4,0,IF(AND($A24&gt;=$D$5,$A24&lt;=INT($D$8)-1+$D$4),LOOKUP($A24,Retraite!$A$7:$A$47,Retraite!$L$7:$L$47)/LOOKUP($A24,Barèmes!$A$65:$A$148,Barèmes!$C$65:$C$148),IF($A24=INT($D$8+$D$4),(LOOKUP($A24,Retraite!$A$7:$A$47,Retraite!$L$7:$L$47)/LOOKUP($A24,Barèmes!$A$65:$A$148,Barèmes!$C$65:$C$148))*(1-(INT($D$8)+1-$D$8)),0)))</f>
        <v>0</v>
      </c>
      <c r="I24" s="151">
        <f>IF($A24&lt;$D$5+$D$4,0,IF(AND($A24&gt;=$D$5,$A24&lt;=INT($D$8)-1+$D$4),LOOKUP($A24,Retraite!$A$7:$A$47,Retraite!$P$7:$P$47)/LOOKUP($A24,Barèmes!$A$65:$A$148,Barèmes!$C$65:$C$148),IF($A24=INT($D$8+$D$4),(LOOKUP($A24,Retraite!$A$7:$A$47,Retraite!$P$7:$P$47)/LOOKUP($A24,Barèmes!$A$65:$A$148,Barèmes!$C$65:$C$148))*(1-(INT($D$8)+1-$D$8)),0)))</f>
        <v>0</v>
      </c>
      <c r="J24" s="121">
        <f>IF($A24&lt;$D$5+$D$4,(LOOKUP($A24,Cot_droits!$A$17:$A$68,Cot_droits!$H$17:$H$68)+LOOKUP($A24,Cot_droits!$A$17:$A$68,Cot_droits!$L$17:$L$68))/LOOKUP($A24,Barèmes!$A$65:$A$148,Barèmes!$C$65:$C$148),0)</f>
        <v>2437.4045963471626</v>
      </c>
      <c r="L24" s="131">
        <f>IF($A24&lt;$D$5+$D$4,0,IF(AND($A24&gt;=$D$5,$A24&lt;=INT($D$8)-1+$D$4),LOOKUP($A24,Retraite!$A$7:$A$47,Retraite!$M$7:$M$47)/LOOKUP($A24,Barèmes!$A$65:$A$148,Barèmes!$C$65:$C$148),IF($A24=INT($D$8+$D$4),(LOOKUP($A24,Retraite!$A$7:$A$47,Retraite!$M$7:$M$47)/LOOKUP($A24,Barèmes!$A$65:$A$148,Barèmes!$C$65:$C$148))*(1-(INT($D$8)+1-$D$8)),0)))</f>
        <v>0</v>
      </c>
      <c r="M24" s="151">
        <f>IF($A24&lt;$D$5+$D$4,0,IF(AND($A24&gt;=$D$5,$A24&lt;=INT($D$8)-1+$D$4),LOOKUP($A24,Retraite!$A$7:$A$47,Retraite!$Q$7:$Q$47)/LOOKUP($A24,Barèmes!$A$65:$A$148,Barèmes!$C$65:$C$148),IF($A24=INT($D$8+$D$4),(LOOKUP($A24,Retraite!$A$7:$A$47,Retraite!$Q$7:$Q$47)/LOOKUP($A24,Barèmes!$A$65:$A$148,Barèmes!$C$65:$C$148))*(1-(INT($D$8)+1-$D$8)),0)))</f>
        <v>0</v>
      </c>
      <c r="N24" s="121">
        <f>IF($A24&lt;$D$5+$D$4,(LOOKUP($A24,Cot_droits!$A$17:$A$68,Cot_droits!$I$17:$I$68)+LOOKUP($A24,Cot_droits!$A$17:$A$68,Cot_droits!$J$17:$J$68)+LOOKUP($A24,Cot_droits!$A$17:$A$68,Cot_droits!$N$17:$N$68))/LOOKUP($A24,Barèmes!$A$65:$A$148,Barèmes!$C$65:$C$148),0)</f>
        <v>1360.9946830496397</v>
      </c>
      <c r="O24" s="115"/>
    </row>
    <row r="25" spans="1:15" s="43" customFormat="1" ht="15.75" customHeight="1" x14ac:dyDescent="0.25">
      <c r="A25" s="148">
        <f>TRI_prix!A19</f>
        <v>2024</v>
      </c>
      <c r="B25" s="121">
        <f>Cot_droits!C24/LOOKUP($A25,Barèmes!$A$65:$A$148,Barèmes!$C$65:$C$148)</f>
        <v>23569.98344213776</v>
      </c>
      <c r="C25" s="135"/>
      <c r="D25" s="131">
        <f>IF($A25&lt;$D$5+$D$4,0,IF(AND($A25&gt;=$D$5,$A25&lt;=INT($D$8)-1+$D$4),LOOKUP($A25,Retraite!$A$7:$A$47,Retraite!$K$7:$K$47)/LOOKUP($A25,Barèmes!$A$65:$A$148,Barèmes!$C$65:$C$148),IF($A25=INT($D$8+$D$4),(LOOKUP($A25,Retraite!$A$7:$A$47,Retraite!$K$7:$K$47)/LOOKUP($A25,Barèmes!$A$65:$A$148,Barèmes!$C$65:$C$148))*(1-(INT($D$8)+1-$D$8)),0)))</f>
        <v>0</v>
      </c>
      <c r="E25" s="151">
        <f>IF($A25&lt;$D$5+$D$4,0,IF(AND($A25&gt;=$D$5,$A25&lt;=INT($D$8)-1+$D$4),LOOKUP($A25,Retraite!$A$7:$A$47,Retraite!$N$7:$N$47)/LOOKUP($A25,Barèmes!$A$65:$A$148,Barèmes!$C$65:$C$148),IF($A25=INT($D$8+$D$4),(LOOKUP($A25,Retraite!$A$7:$A$47,Retraite!$N$7:$N$47)/LOOKUP($A25,Barèmes!$A$65:$A$148,Barèmes!$C$65:$C$148))*(1-(INT($D$8)+1-$D$8)),0)))</f>
        <v>0</v>
      </c>
      <c r="F25" s="121">
        <f>IF($A25&lt;$D$5+$D$4,LOOKUP($A25,Cot_droits!$A$17:$A$68,Cot_droits!$Q$17:$Q$68)/LOOKUP($A25,Barèmes!$A$65:$A$148,Barèmes!$C$65:$C$148),0)</f>
        <v>4773.3386409533005</v>
      </c>
      <c r="G25" s="115"/>
      <c r="H25" s="131">
        <f>IF($A25&lt;$D$5+$D$4,0,IF(AND($A25&gt;=$D$5,$A25&lt;=INT($D$8)-1+$D$4),LOOKUP($A25,Retraite!$A$7:$A$47,Retraite!$L$7:$L$47)/LOOKUP($A25,Barèmes!$A$65:$A$148,Barèmes!$C$65:$C$148),IF($A25=INT($D$8+$D$4),(LOOKUP($A25,Retraite!$A$7:$A$47,Retraite!$L$7:$L$47)/LOOKUP($A25,Barèmes!$A$65:$A$148,Barèmes!$C$65:$C$148))*(1-(INT($D$8)+1-$D$8)),0)))</f>
        <v>0</v>
      </c>
      <c r="I25" s="151">
        <f>IF($A25&lt;$D$5+$D$4,0,IF(AND($A25&gt;=$D$5,$A25&lt;=INT($D$8)-1+$D$4),LOOKUP($A25,Retraite!$A$7:$A$47,Retraite!$P$7:$P$47)/LOOKUP($A25,Barèmes!$A$65:$A$148,Barèmes!$C$65:$C$148),IF($A25=INT($D$8+$D$4),(LOOKUP($A25,Retraite!$A$7:$A$47,Retraite!$P$7:$P$47)/LOOKUP($A25,Barèmes!$A$65:$A$148,Barèmes!$C$65:$C$148))*(1-(INT($D$8)+1-$D$8)),0)))</f>
        <v>0</v>
      </c>
      <c r="J25" s="121">
        <f>IF($A25&lt;$D$5+$D$4,(LOOKUP($A25,Cot_droits!$A$17:$A$68,Cot_droits!$H$17:$H$68)+LOOKUP($A25,Cot_droits!$A$17:$A$68,Cot_droits!$L$17:$L$68))/LOOKUP($A25,Barèmes!$A$65:$A$148,Barèmes!$C$65:$C$148),0)</f>
        <v>3058.3513414403174</v>
      </c>
      <c r="L25" s="131">
        <f>IF($A25&lt;$D$5+$D$4,0,IF(AND($A25&gt;=$D$5,$A25&lt;=INT($D$8)-1+$D$4),LOOKUP($A25,Retraite!$A$7:$A$47,Retraite!$M$7:$M$47)/LOOKUP($A25,Barèmes!$A$65:$A$148,Barèmes!$C$65:$C$148),IF($A25=INT($D$8+$D$4),(LOOKUP($A25,Retraite!$A$7:$A$47,Retraite!$M$7:$M$47)/LOOKUP($A25,Barèmes!$A$65:$A$148,Barèmes!$C$65:$C$148))*(1-(INT($D$8)+1-$D$8)),0)))</f>
        <v>0</v>
      </c>
      <c r="M25" s="151">
        <f>IF($A25&lt;$D$5+$D$4,0,IF(AND($A25&gt;=$D$5,$A25&lt;=INT($D$8)-1+$D$4),LOOKUP($A25,Retraite!$A$7:$A$47,Retraite!$Q$7:$Q$47)/LOOKUP($A25,Barèmes!$A$65:$A$148,Barèmes!$C$65:$C$148),IF($A25=INT($D$8+$D$4),(LOOKUP($A25,Retraite!$A$7:$A$47,Retraite!$Q$7:$Q$47)/LOOKUP($A25,Barèmes!$A$65:$A$148,Barèmes!$C$65:$C$148))*(1-(INT($D$8)+1-$D$8)),0)))</f>
        <v>0</v>
      </c>
      <c r="N25" s="121">
        <f>IF($A25&lt;$D$5+$D$4,(LOOKUP($A25,Cot_droits!$A$17:$A$68,Cot_droits!$I$17:$I$68)+LOOKUP($A25,Cot_droits!$A$17:$A$68,Cot_droits!$J$17:$J$68)+LOOKUP($A25,Cot_droits!$A$17:$A$68,Cot_droits!$N$17:$N$68))/LOOKUP($A25,Barèmes!$A$65:$A$148,Barèmes!$C$65:$C$148),0)</f>
        <v>1714.9872995129826</v>
      </c>
      <c r="O25" s="115"/>
    </row>
    <row r="26" spans="1:15" s="43" customFormat="1" ht="15.75" customHeight="1" x14ac:dyDescent="0.25">
      <c r="A26" s="148">
        <f>TRI_prix!A20</f>
        <v>2025</v>
      </c>
      <c r="B26" s="121">
        <f>Cot_droits!C25/LOOKUP($A26,Barèmes!$A$65:$A$148,Barèmes!$C$65:$C$148)</f>
        <v>24975.137046961725</v>
      </c>
      <c r="C26" s="135"/>
      <c r="D26" s="131">
        <f>IF($A26&lt;$D$5+$D$4,0,IF(AND($A26&gt;=$D$5,$A26&lt;=INT($D$8)-1+$D$4),LOOKUP($A26,Retraite!$A$7:$A$47,Retraite!$K$7:$K$47)/LOOKUP($A26,Barèmes!$A$65:$A$148,Barèmes!$C$65:$C$148),IF($A26=INT($D$8+$D$4),(LOOKUP($A26,Retraite!$A$7:$A$47,Retraite!$K$7:$K$47)/LOOKUP($A26,Barèmes!$A$65:$A$148,Barèmes!$C$65:$C$148))*(1-(INT($D$8)+1-$D$8)),0)))</f>
        <v>0</v>
      </c>
      <c r="E26" s="151">
        <f>IF($A26&lt;$D$5+$D$4,0,IF(AND($A26&gt;=$D$5,$A26&lt;=INT($D$8)-1+$D$4),LOOKUP($A26,Retraite!$A$7:$A$47,Retraite!$N$7:$N$47)/LOOKUP($A26,Barèmes!$A$65:$A$148,Barèmes!$C$65:$C$148),IF($A26=INT($D$8+$D$4),(LOOKUP($A26,Retraite!$A$7:$A$47,Retraite!$N$7:$N$47)/LOOKUP($A26,Barèmes!$A$65:$A$148,Barèmes!$C$65:$C$148))*(1-(INT($D$8)+1-$D$8)),0)))</f>
        <v>0</v>
      </c>
      <c r="F26" s="121">
        <f>IF($A26&lt;$D$5+$D$4,LOOKUP($A26,Cot_droits!$A$17:$A$68,Cot_droits!$Q$17:$Q$68)/LOOKUP($A26,Barèmes!$A$65:$A$148,Barèmes!$C$65:$C$148),0)</f>
        <v>5537.0409954660327</v>
      </c>
      <c r="G26" s="115"/>
      <c r="H26" s="131">
        <f>IF($A26&lt;$D$5+$D$4,0,IF(AND($A26&gt;=$D$5,$A26&lt;=INT($D$8)-1+$D$4),LOOKUP($A26,Retraite!$A$7:$A$47,Retraite!$L$7:$L$47)/LOOKUP($A26,Barèmes!$A$65:$A$148,Barèmes!$C$65:$C$148),IF($A26=INT($D$8+$D$4),(LOOKUP($A26,Retraite!$A$7:$A$47,Retraite!$L$7:$L$47)/LOOKUP($A26,Barèmes!$A$65:$A$148,Barèmes!$C$65:$C$148))*(1-(INT($D$8)+1-$D$8)),0)))</f>
        <v>0</v>
      </c>
      <c r="I26" s="151">
        <f>IF($A26&lt;$D$5+$D$4,0,IF(AND($A26&gt;=$D$5,$A26&lt;=INT($D$8)-1+$D$4),LOOKUP($A26,Retraite!$A$7:$A$47,Retraite!$P$7:$P$47)/LOOKUP($A26,Barèmes!$A$65:$A$148,Barèmes!$C$65:$C$148),IF($A26=INT($D$8+$D$4),(LOOKUP($A26,Retraite!$A$7:$A$47,Retraite!$P$7:$P$47)/LOOKUP($A26,Barèmes!$A$65:$A$148,Barèmes!$C$65:$C$148))*(1-(INT($D$8)+1-$D$8)),0)))</f>
        <v>0</v>
      </c>
      <c r="J26" s="121">
        <f>IF($A26&lt;$D$5+$D$4,(LOOKUP($A26,Cot_droits!$A$17:$A$68,Cot_droits!$H$17:$H$68)+LOOKUP($A26,Cot_droits!$A$17:$A$68,Cot_droits!$L$17:$L$68))/LOOKUP($A26,Barèmes!$A$65:$A$148,Barèmes!$C$65:$C$148),0)</f>
        <v>3544.7863238343039</v>
      </c>
      <c r="L26" s="131">
        <f>IF($A26&lt;$D$5+$D$4,0,IF(AND($A26&gt;=$D$5,$A26&lt;=INT($D$8)-1+$D$4),LOOKUP($A26,Retraite!$A$7:$A$47,Retraite!$M$7:$M$47)/LOOKUP($A26,Barèmes!$A$65:$A$148,Barèmes!$C$65:$C$148),IF($A26=INT($D$8+$D$4),(LOOKUP($A26,Retraite!$A$7:$A$47,Retraite!$M$7:$M$47)/LOOKUP($A26,Barèmes!$A$65:$A$148,Barèmes!$C$65:$C$148))*(1-(INT($D$8)+1-$D$8)),0)))</f>
        <v>0</v>
      </c>
      <c r="M26" s="151">
        <f>IF($A26&lt;$D$5+$D$4,0,IF(AND($A26&gt;=$D$5,$A26&lt;=INT($D$8)-1+$D$4),LOOKUP($A26,Retraite!$A$7:$A$47,Retraite!$Q$7:$Q$47)/LOOKUP($A26,Barèmes!$A$65:$A$148,Barèmes!$C$65:$C$148),IF($A26=INT($D$8+$D$4),(LOOKUP($A26,Retraite!$A$7:$A$47,Retraite!$Q$7:$Q$47)/LOOKUP($A26,Barèmes!$A$65:$A$148,Barèmes!$C$65:$C$148))*(1-(INT($D$8)+1-$D$8)),0)))</f>
        <v>0</v>
      </c>
      <c r="N26" s="121">
        <f>IF($A26&lt;$D$5+$D$4,(LOOKUP($A26,Cot_droits!$A$17:$A$68,Cot_droits!$I$17:$I$68)+LOOKUP($A26,Cot_droits!$A$17:$A$68,Cot_droits!$J$17:$J$68)+LOOKUP($A26,Cot_droits!$A$17:$A$68,Cot_droits!$N$17:$N$68))/LOOKUP($A26,Barèmes!$A$65:$A$148,Barèmes!$C$65:$C$148),0)</f>
        <v>1992.2546716317279</v>
      </c>
      <c r="O26" s="115"/>
    </row>
    <row r="27" spans="1:15" s="43" customFormat="1" ht="15.75" customHeight="1" x14ac:dyDescent="0.25">
      <c r="A27" s="148">
        <f>TRI_prix!A21</f>
        <v>2026</v>
      </c>
      <c r="B27" s="121">
        <f>Cot_droits!C26/LOOKUP($A27,Barèmes!$A$65:$A$148,Barèmes!$C$65:$C$148)</f>
        <v>26861.270754091147</v>
      </c>
      <c r="C27" s="135"/>
      <c r="D27" s="131">
        <f>IF($A27&lt;$D$5+$D$4,0,IF(AND($A27&gt;=$D$5,$A27&lt;=INT($D$8)-1+$D$4),LOOKUP($A27,Retraite!$A$7:$A$47,Retraite!$K$7:$K$47)/LOOKUP($A27,Barèmes!$A$65:$A$148,Barèmes!$C$65:$C$148),IF($A27=INT($D$8+$D$4),(LOOKUP($A27,Retraite!$A$7:$A$47,Retraite!$K$7:$K$47)/LOOKUP($A27,Barèmes!$A$65:$A$148,Barèmes!$C$65:$C$148))*(1-(INT($D$8)+1-$D$8)),0)))</f>
        <v>0</v>
      </c>
      <c r="E27" s="151">
        <f>IF($A27&lt;$D$5+$D$4,0,IF(AND($A27&gt;=$D$5,$A27&lt;=INT($D$8)-1+$D$4),LOOKUP($A27,Retraite!$A$7:$A$47,Retraite!$N$7:$N$47)/LOOKUP($A27,Barèmes!$A$65:$A$148,Barèmes!$C$65:$C$148),IF($A27=INT($D$8+$D$4),(LOOKUP($A27,Retraite!$A$7:$A$47,Retraite!$N$7:$N$47)/LOOKUP($A27,Barèmes!$A$65:$A$148,Barèmes!$C$65:$C$148))*(1-(INT($D$8)+1-$D$8)),0)))</f>
        <v>0</v>
      </c>
      <c r="F27" s="121">
        <f>IF($A27&lt;$D$5+$D$4,LOOKUP($A27,Cot_droits!$A$17:$A$68,Cot_droits!$Q$17:$Q$68)/LOOKUP($A27,Barèmes!$A$65:$A$148,Barèmes!$C$65:$C$148),0)</f>
        <v>6556.7848772418274</v>
      </c>
      <c r="G27" s="115"/>
      <c r="H27" s="131">
        <f>IF($A27&lt;$D$5+$D$4,0,IF(AND($A27&gt;=$D$5,$A27&lt;=INT($D$8)-1+$D$4),LOOKUP($A27,Retraite!$A$7:$A$47,Retraite!$L$7:$L$47)/LOOKUP($A27,Barèmes!$A$65:$A$148,Barèmes!$C$65:$C$148),IF($A27=INT($D$8+$D$4),(LOOKUP($A27,Retraite!$A$7:$A$47,Retraite!$L$7:$L$47)/LOOKUP($A27,Barèmes!$A$65:$A$148,Barèmes!$C$65:$C$148))*(1-(INT($D$8)+1-$D$8)),0)))</f>
        <v>0</v>
      </c>
      <c r="I27" s="151">
        <f>IF($A27&lt;$D$5+$D$4,0,IF(AND($A27&gt;=$D$5,$A27&lt;=INT($D$8)-1+$D$4),LOOKUP($A27,Retraite!$A$7:$A$47,Retraite!$P$7:$P$47)/LOOKUP($A27,Barèmes!$A$65:$A$148,Barèmes!$C$65:$C$148),IF($A27=INT($D$8+$D$4),(LOOKUP($A27,Retraite!$A$7:$A$47,Retraite!$P$7:$P$47)/LOOKUP($A27,Barèmes!$A$65:$A$148,Barèmes!$C$65:$C$148))*(1-(INT($D$8)+1-$D$8)),0)))</f>
        <v>0</v>
      </c>
      <c r="J27" s="121">
        <f>IF($A27&lt;$D$5+$D$4,(LOOKUP($A27,Cot_droits!$A$17:$A$68,Cot_droits!$H$17:$H$68)+LOOKUP($A27,Cot_droits!$A$17:$A$68,Cot_droits!$L$17:$L$68))/LOOKUP($A27,Barèmes!$A$65:$A$148,Barèmes!$C$65:$C$148),0)</f>
        <v>4194.3172373882508</v>
      </c>
      <c r="L27" s="131">
        <f>IF($A27&lt;$D$5+$D$4,0,IF(AND($A27&gt;=$D$5,$A27&lt;=INT($D$8)-1+$D$4),LOOKUP($A27,Retraite!$A$7:$A$47,Retraite!$M$7:$M$47)/LOOKUP($A27,Barèmes!$A$65:$A$148,Barèmes!$C$65:$C$148),IF($A27=INT($D$8+$D$4),(LOOKUP($A27,Retraite!$A$7:$A$47,Retraite!$M$7:$M$47)/LOOKUP($A27,Barèmes!$A$65:$A$148,Barèmes!$C$65:$C$148))*(1-(INT($D$8)+1-$D$8)),0)))</f>
        <v>0</v>
      </c>
      <c r="M27" s="151">
        <f>IF($A27&lt;$D$5+$D$4,0,IF(AND($A27&gt;=$D$5,$A27&lt;=INT($D$8)-1+$D$4),LOOKUP($A27,Retraite!$A$7:$A$47,Retraite!$Q$7:$Q$47)/LOOKUP($A27,Barèmes!$A$65:$A$148,Barèmes!$C$65:$C$148),IF($A27=INT($D$8+$D$4),(LOOKUP($A27,Retraite!$A$7:$A$47,Retraite!$Q$7:$Q$47)/LOOKUP($A27,Barèmes!$A$65:$A$148,Barèmes!$C$65:$C$148))*(1-(INT($D$8)+1-$D$8)),0)))</f>
        <v>0</v>
      </c>
      <c r="N27" s="121">
        <f>IF($A27&lt;$D$5+$D$4,(LOOKUP($A27,Cot_droits!$A$17:$A$68,Cot_droits!$I$17:$I$68)+LOOKUP($A27,Cot_droits!$A$17:$A$68,Cot_droits!$J$17:$J$68)+LOOKUP($A27,Cot_droits!$A$17:$A$68,Cot_droits!$N$17:$N$68))/LOOKUP($A27,Barèmes!$A$65:$A$148,Barèmes!$C$65:$C$148),0)</f>
        <v>2362.4676398535767</v>
      </c>
      <c r="O27" s="115"/>
    </row>
    <row r="28" spans="1:15" s="43" customFormat="1" ht="15.75" customHeight="1" x14ac:dyDescent="0.25">
      <c r="A28" s="148">
        <f>TRI_prix!A22</f>
        <v>2027</v>
      </c>
      <c r="B28" s="121">
        <f>Cot_droits!C27/LOOKUP($A28,Barèmes!$A$65:$A$148,Barèmes!$C$65:$C$148)</f>
        <v>28267.353818418189</v>
      </c>
      <c r="C28" s="135"/>
      <c r="D28" s="131">
        <f>IF($A28&lt;$D$5+$D$4,0,IF(AND($A28&gt;=$D$5,$A28&lt;=INT($D$8)-1+$D$4),LOOKUP($A28,Retraite!$A$7:$A$47,Retraite!$K$7:$K$47)/LOOKUP($A28,Barèmes!$A$65:$A$148,Barèmes!$C$65:$C$148),IF($A28=INT($D$8+$D$4),(LOOKUP($A28,Retraite!$A$7:$A$47,Retraite!$K$7:$K$47)/LOOKUP($A28,Barèmes!$A$65:$A$148,Barèmes!$C$65:$C$148))*(1-(INT($D$8)+1-$D$8)),0)))</f>
        <v>0</v>
      </c>
      <c r="E28" s="151">
        <f>IF($A28&lt;$D$5+$D$4,0,IF(AND($A28&gt;=$D$5,$A28&lt;=INT($D$8)-1+$D$4),LOOKUP($A28,Retraite!$A$7:$A$47,Retraite!$N$7:$N$47)/LOOKUP($A28,Barèmes!$A$65:$A$148,Barèmes!$C$65:$C$148),IF($A28=INT($D$8+$D$4),(LOOKUP($A28,Retraite!$A$7:$A$47,Retraite!$N$7:$N$47)/LOOKUP($A28,Barèmes!$A$65:$A$148,Barèmes!$C$65:$C$148))*(1-(INT($D$8)+1-$D$8)),0)))</f>
        <v>0</v>
      </c>
      <c r="F28" s="121">
        <f>IF($A28&lt;$D$5+$D$4,LOOKUP($A28,Cot_droits!$A$17:$A$68,Cot_droits!$Q$17:$Q$68)/LOOKUP($A28,Barèmes!$A$65:$A$148,Barèmes!$C$65:$C$148),0)</f>
        <v>7301.8763420793439</v>
      </c>
      <c r="G28" s="115"/>
      <c r="H28" s="131">
        <f>IF($A28&lt;$D$5+$D$4,0,IF(AND($A28&gt;=$D$5,$A28&lt;=INT($D$8)-1+$D$4),LOOKUP($A28,Retraite!$A$7:$A$47,Retraite!$L$7:$L$47)/LOOKUP($A28,Barèmes!$A$65:$A$148,Barèmes!$C$65:$C$148),IF($A28=INT($D$8+$D$4),(LOOKUP($A28,Retraite!$A$7:$A$47,Retraite!$L$7:$L$47)/LOOKUP($A28,Barèmes!$A$65:$A$148,Barèmes!$C$65:$C$148))*(1-(INT($D$8)+1-$D$8)),0)))</f>
        <v>0</v>
      </c>
      <c r="I28" s="151">
        <f>IF($A28&lt;$D$5+$D$4,0,IF(AND($A28&gt;=$D$5,$A28&lt;=INT($D$8)-1+$D$4),LOOKUP($A28,Retraite!$A$7:$A$47,Retraite!$P$7:$P$47)/LOOKUP($A28,Barèmes!$A$65:$A$148,Barèmes!$C$65:$C$148),IF($A28=INT($D$8+$D$4),(LOOKUP($A28,Retraite!$A$7:$A$47,Retraite!$P$7:$P$47)/LOOKUP($A28,Barèmes!$A$65:$A$148,Barèmes!$C$65:$C$148))*(1-(INT($D$8)+1-$D$8)),0)))</f>
        <v>0</v>
      </c>
      <c r="J28" s="121">
        <f>IF($A28&lt;$D$5+$D$4,(LOOKUP($A28,Cot_droits!$A$17:$A$68,Cot_droits!$H$17:$H$68)+LOOKUP($A28,Cot_droits!$A$17:$A$68,Cot_droits!$L$17:$L$68))/LOOKUP($A28,Barèmes!$A$65:$A$148,Barèmes!$C$65:$C$148),0)</f>
        <v>4668.940968640266</v>
      </c>
      <c r="L28" s="131">
        <f>IF($A28&lt;$D$5+$D$4,0,IF(AND($A28&gt;=$D$5,$A28&lt;=INT($D$8)-1+$D$4),LOOKUP($A28,Retraite!$A$7:$A$47,Retraite!$M$7:$M$47)/LOOKUP($A28,Barèmes!$A$65:$A$148,Barèmes!$C$65:$C$148),IF($A28=INT($D$8+$D$4),(LOOKUP($A28,Retraite!$A$7:$A$47,Retraite!$M$7:$M$47)/LOOKUP($A28,Barèmes!$A$65:$A$148,Barèmes!$C$65:$C$148))*(1-(INT($D$8)+1-$D$8)),0)))</f>
        <v>0</v>
      </c>
      <c r="M28" s="151">
        <f>IF($A28&lt;$D$5+$D$4,0,IF(AND($A28&gt;=$D$5,$A28&lt;=INT($D$8)-1+$D$4),LOOKUP($A28,Retraite!$A$7:$A$47,Retraite!$Q$7:$Q$47)/LOOKUP($A28,Barèmes!$A$65:$A$148,Barèmes!$C$65:$C$148),IF($A28=INT($D$8+$D$4),(LOOKUP($A28,Retraite!$A$7:$A$47,Retraite!$Q$7:$Q$47)/LOOKUP($A28,Barèmes!$A$65:$A$148,Barèmes!$C$65:$C$148))*(1-(INT($D$8)+1-$D$8)),0)))</f>
        <v>0</v>
      </c>
      <c r="N28" s="121">
        <f>IF($A28&lt;$D$5+$D$4,(LOOKUP($A28,Cot_droits!$A$17:$A$68,Cot_droits!$I$17:$I$68)+LOOKUP($A28,Cot_droits!$A$17:$A$68,Cot_droits!$J$17:$J$68)+LOOKUP($A28,Cot_droits!$A$17:$A$68,Cot_droits!$N$17:$N$68))/LOOKUP($A28,Barèmes!$A$65:$A$148,Barèmes!$C$65:$C$148),0)</f>
        <v>2632.9353734390788</v>
      </c>
      <c r="O28" s="115"/>
    </row>
    <row r="29" spans="1:15" s="43" customFormat="1" ht="15.75" customHeight="1" x14ac:dyDescent="0.25">
      <c r="A29" s="148">
        <f>TRI_prix!A23</f>
        <v>2028</v>
      </c>
      <c r="B29" s="121">
        <f>Cot_droits!C28/LOOKUP($A29,Barèmes!$A$65:$A$148,Barèmes!$C$65:$C$148)</f>
        <v>29463.764655791911</v>
      </c>
      <c r="C29" s="135"/>
      <c r="D29" s="131">
        <f>IF($A29&lt;$D$5+$D$4,0,IF(AND($A29&gt;=$D$5,$A29&lt;=INT($D$8)-1+$D$4),LOOKUP($A29,Retraite!$A$7:$A$47,Retraite!$K$7:$K$47)/LOOKUP($A29,Barèmes!$A$65:$A$148,Barèmes!$C$65:$C$148),IF($A29=INT($D$8+$D$4),(LOOKUP($A29,Retraite!$A$7:$A$47,Retraite!$K$7:$K$47)/LOOKUP($A29,Barèmes!$A$65:$A$148,Barèmes!$C$65:$C$148))*(1-(INT($D$8)+1-$D$8)),0)))</f>
        <v>0</v>
      </c>
      <c r="E29" s="151">
        <f>IF($A29&lt;$D$5+$D$4,0,IF(AND($A29&gt;=$D$5,$A29&lt;=INT($D$8)-1+$D$4),LOOKUP($A29,Retraite!$A$7:$A$47,Retraite!$N$7:$N$47)/LOOKUP($A29,Barèmes!$A$65:$A$148,Barèmes!$C$65:$C$148),IF($A29=INT($D$8+$D$4),(LOOKUP($A29,Retraite!$A$7:$A$47,Retraite!$N$7:$N$47)/LOOKUP($A29,Barèmes!$A$65:$A$148,Barèmes!$C$65:$C$148))*(1-(INT($D$8)+1-$D$8)),0)))</f>
        <v>0</v>
      </c>
      <c r="F29" s="121">
        <f>IF($A29&lt;$D$5+$D$4,LOOKUP($A29,Cot_droits!$A$17:$A$68,Cot_droits!$Q$17:$Q$68)/LOOKUP($A29,Barèmes!$A$65:$A$148,Barèmes!$C$65:$C$148),0)</f>
        <v>7921.5066411790776</v>
      </c>
      <c r="G29" s="115"/>
      <c r="H29" s="131">
        <f>IF($A29&lt;$D$5+$D$4,0,IF(AND($A29&gt;=$D$5,$A29&lt;=INT($D$8)-1+$D$4),LOOKUP($A29,Retraite!$A$7:$A$47,Retraite!$L$7:$L$47)/LOOKUP($A29,Barèmes!$A$65:$A$148,Barèmes!$C$65:$C$148),IF($A29=INT($D$8+$D$4),(LOOKUP($A29,Retraite!$A$7:$A$47,Retraite!$L$7:$L$47)/LOOKUP($A29,Barèmes!$A$65:$A$148,Barèmes!$C$65:$C$148))*(1-(INT($D$8)+1-$D$8)),0)))</f>
        <v>0</v>
      </c>
      <c r="I29" s="151">
        <f>IF($A29&lt;$D$5+$D$4,0,IF(AND($A29&gt;=$D$5,$A29&lt;=INT($D$8)-1+$D$4),LOOKUP($A29,Retraite!$A$7:$A$47,Retraite!$P$7:$P$47)/LOOKUP($A29,Barèmes!$A$65:$A$148,Barèmes!$C$65:$C$148),IF($A29=INT($D$8+$D$4),(LOOKUP($A29,Retraite!$A$7:$A$47,Retraite!$P$7:$P$47)/LOOKUP($A29,Barèmes!$A$65:$A$148,Barèmes!$C$65:$C$148))*(1-(INT($D$8)+1-$D$8)),0)))</f>
        <v>0</v>
      </c>
      <c r="J29" s="121">
        <f>IF($A29&lt;$D$5+$D$4,(LOOKUP($A29,Cot_droits!$A$17:$A$68,Cot_droits!$H$17:$H$68)+LOOKUP($A29,Cot_droits!$A$17:$A$68,Cot_droits!$L$17:$L$68))/LOOKUP($A29,Barèmes!$A$65:$A$148,Barèmes!$C$65:$C$148),0)</f>
        <v>5063.6788436955285</v>
      </c>
      <c r="L29" s="131">
        <f>IF($A29&lt;$D$5+$D$4,0,IF(AND($A29&gt;=$D$5,$A29&lt;=INT($D$8)-1+$D$4),LOOKUP($A29,Retraite!$A$7:$A$47,Retraite!$M$7:$M$47)/LOOKUP($A29,Barèmes!$A$65:$A$148,Barèmes!$C$65:$C$148),IF($A29=INT($D$8+$D$4),(LOOKUP($A29,Retraite!$A$7:$A$47,Retraite!$M$7:$M$47)/LOOKUP($A29,Barèmes!$A$65:$A$148,Barèmes!$C$65:$C$148))*(1-(INT($D$8)+1-$D$8)),0)))</f>
        <v>0</v>
      </c>
      <c r="M29" s="151">
        <f>IF($A29&lt;$D$5+$D$4,0,IF(AND($A29&gt;=$D$5,$A29&lt;=INT($D$8)-1+$D$4),LOOKUP($A29,Retraite!$A$7:$A$47,Retraite!$Q$7:$Q$47)/LOOKUP($A29,Barèmes!$A$65:$A$148,Barèmes!$C$65:$C$148),IF($A29=INT($D$8+$D$4),(LOOKUP($A29,Retraite!$A$7:$A$47,Retraite!$Q$7:$Q$47)/LOOKUP($A29,Barèmes!$A$65:$A$148,Barèmes!$C$65:$C$148))*(1-(INT($D$8)+1-$D$8)),0)))</f>
        <v>0</v>
      </c>
      <c r="N29" s="121">
        <f>IF($A29&lt;$D$5+$D$4,(LOOKUP($A29,Cot_droits!$A$17:$A$68,Cot_droits!$I$17:$I$68)+LOOKUP($A29,Cot_droits!$A$17:$A$68,Cot_droits!$J$17:$J$68)+LOOKUP($A29,Cot_droits!$A$17:$A$68,Cot_droits!$N$17:$N$68))/LOOKUP($A29,Barèmes!$A$65:$A$148,Barèmes!$C$65:$C$148),0)</f>
        <v>2857.8277974835478</v>
      </c>
      <c r="O29" s="115"/>
    </row>
    <row r="30" spans="1:15" s="43" customFormat="1" ht="15.75" customHeight="1" x14ac:dyDescent="0.25">
      <c r="A30" s="148">
        <f>TRI_prix!A24</f>
        <v>2029</v>
      </c>
      <c r="B30" s="121">
        <f>Cot_droits!C29/LOOKUP($A30,Barèmes!$A$65:$A$148,Barèmes!$C$65:$C$148)</f>
        <v>30931.594517988287</v>
      </c>
      <c r="C30" s="135"/>
      <c r="D30" s="131">
        <f>IF($A30&lt;$D$5+$D$4,0,IF(AND($A30&gt;=$D$5,$A30&lt;=INT($D$8)-1+$D$4),LOOKUP($A30,Retraite!$A$7:$A$47,Retraite!$K$7:$K$47)/LOOKUP($A30,Barèmes!$A$65:$A$148,Barèmes!$C$65:$C$148),IF($A30=INT($D$8+$D$4),(LOOKUP($A30,Retraite!$A$7:$A$47,Retraite!$K$7:$K$47)/LOOKUP($A30,Barèmes!$A$65:$A$148,Barèmes!$C$65:$C$148))*(1-(INT($D$8)+1-$D$8)),0)))</f>
        <v>0</v>
      </c>
      <c r="E30" s="151">
        <f>IF($A30&lt;$D$5+$D$4,0,IF(AND($A30&gt;=$D$5,$A30&lt;=INT($D$8)-1+$D$4),LOOKUP($A30,Retraite!$A$7:$A$47,Retraite!$N$7:$N$47)/LOOKUP($A30,Barèmes!$A$65:$A$148,Barèmes!$C$65:$C$148),IF($A30=INT($D$8+$D$4),(LOOKUP($A30,Retraite!$A$7:$A$47,Retraite!$N$7:$N$47)/LOOKUP($A30,Barèmes!$A$65:$A$148,Barèmes!$C$65:$C$148))*(1-(INT($D$8)+1-$D$8)),0)))</f>
        <v>0</v>
      </c>
      <c r="F30" s="121">
        <f>IF($A30&lt;$D$5+$D$4,LOOKUP($A30,Cot_droits!$A$17:$A$68,Cot_droits!$Q$17:$Q$68)/LOOKUP($A30,Barèmes!$A$65:$A$148,Barèmes!$C$65:$C$148),0)</f>
        <v>8590.9410614260651</v>
      </c>
      <c r="G30" s="115"/>
      <c r="H30" s="131">
        <f>IF($A30&lt;$D$5+$D$4,0,IF(AND($A30&gt;=$D$5,$A30&lt;=INT($D$8)-1+$D$4),LOOKUP($A30,Retraite!$A$7:$A$47,Retraite!$L$7:$L$47)/LOOKUP($A30,Barèmes!$A$65:$A$148,Barèmes!$C$65:$C$148),IF($A30=INT($D$8+$D$4),(LOOKUP($A30,Retraite!$A$7:$A$47,Retraite!$L$7:$L$47)/LOOKUP($A30,Barèmes!$A$65:$A$148,Barèmes!$C$65:$C$148))*(1-(INT($D$8)+1-$D$8)),0)))</f>
        <v>0</v>
      </c>
      <c r="I30" s="151">
        <f>IF($A30&lt;$D$5+$D$4,0,IF(AND($A30&gt;=$D$5,$A30&lt;=INT($D$8)-1+$D$4),LOOKUP($A30,Retraite!$A$7:$A$47,Retraite!$P$7:$P$47)/LOOKUP($A30,Barèmes!$A$65:$A$148,Barèmes!$C$65:$C$148),IF($A30=INT($D$8+$D$4),(LOOKUP($A30,Retraite!$A$7:$A$47,Retraite!$P$7:$P$47)/LOOKUP($A30,Barèmes!$A$65:$A$148,Barèmes!$C$65:$C$148))*(1-(INT($D$8)+1-$D$8)),0)))</f>
        <v>0</v>
      </c>
      <c r="J30" s="121">
        <f>IF($A30&lt;$D$5+$D$4,(LOOKUP($A30,Cot_droits!$A$17:$A$68,Cot_droits!$H$17:$H$68)+LOOKUP($A30,Cot_droits!$A$17:$A$68,Cot_droits!$L$17:$L$68))/LOOKUP($A30,Barèmes!$A$65:$A$148,Barèmes!$C$65:$C$148),0)</f>
        <v>5490.3580269429212</v>
      </c>
      <c r="L30" s="131">
        <f>IF($A30&lt;$D$5+$D$4,0,IF(AND($A30&gt;=$D$5,$A30&lt;=INT($D$8)-1+$D$4),LOOKUP($A30,Retraite!$A$7:$A$47,Retraite!$M$7:$M$47)/LOOKUP($A30,Barèmes!$A$65:$A$148,Barèmes!$C$65:$C$148),IF($A30=INT($D$8+$D$4),(LOOKUP($A30,Retraite!$A$7:$A$47,Retraite!$M$7:$M$47)/LOOKUP($A30,Barèmes!$A$65:$A$148,Barèmes!$C$65:$C$148))*(1-(INT($D$8)+1-$D$8)),0)))</f>
        <v>0</v>
      </c>
      <c r="M30" s="151">
        <f>IF($A30&lt;$D$5+$D$4,0,IF(AND($A30&gt;=$D$5,$A30&lt;=INT($D$8)-1+$D$4),LOOKUP($A30,Retraite!$A$7:$A$47,Retraite!$Q$7:$Q$47)/LOOKUP($A30,Barèmes!$A$65:$A$148,Barèmes!$C$65:$C$148),IF($A30=INT($D$8+$D$4),(LOOKUP($A30,Retraite!$A$7:$A$47,Retraite!$Q$7:$Q$47)/LOOKUP($A30,Barèmes!$A$65:$A$148,Barèmes!$C$65:$C$148))*(1-(INT($D$8)+1-$D$8)),0)))</f>
        <v>0</v>
      </c>
      <c r="N30" s="121">
        <f>IF($A30&lt;$D$5+$D$4,(LOOKUP($A30,Cot_droits!$A$17:$A$68,Cot_droits!$I$17:$I$68)+LOOKUP($A30,Cot_droits!$A$17:$A$68,Cot_droits!$J$17:$J$68)+LOOKUP($A30,Cot_droits!$A$17:$A$68,Cot_droits!$N$17:$N$68))/LOOKUP($A30,Barèmes!$A$65:$A$148,Barèmes!$C$65:$C$148),0)</f>
        <v>3100.5830344831456</v>
      </c>
      <c r="O30" s="115"/>
    </row>
    <row r="31" spans="1:15" s="43" customFormat="1" ht="15.75" customHeight="1" x14ac:dyDescent="0.25">
      <c r="A31" s="148">
        <f>TRI_prix!A25</f>
        <v>2030</v>
      </c>
      <c r="B31" s="121">
        <f>Cot_droits!C30/LOOKUP($A31,Barèmes!$A$65:$A$148,Barèmes!$C$65:$C$148)</f>
        <v>32180.039219781243</v>
      </c>
      <c r="C31" s="135"/>
      <c r="D31" s="131">
        <f>IF($A31&lt;$D$5+$D$4,0,IF(AND($A31&gt;=$D$5,$A31&lt;=INT($D$8)-1+$D$4),LOOKUP($A31,Retraite!$A$7:$A$47,Retraite!$K$7:$K$47)/LOOKUP($A31,Barèmes!$A$65:$A$148,Barèmes!$C$65:$C$148),IF($A31=INT($D$8+$D$4),(LOOKUP($A31,Retraite!$A$7:$A$47,Retraite!$K$7:$K$47)/LOOKUP($A31,Barèmes!$A$65:$A$148,Barèmes!$C$65:$C$148))*(1-(INT($D$8)+1-$D$8)),0)))</f>
        <v>0</v>
      </c>
      <c r="E31" s="151">
        <f>IF($A31&lt;$D$5+$D$4,0,IF(AND($A31&gt;=$D$5,$A31&lt;=INT($D$8)-1+$D$4),LOOKUP($A31,Retraite!$A$7:$A$47,Retraite!$N$7:$N$47)/LOOKUP($A31,Barèmes!$A$65:$A$148,Barèmes!$C$65:$C$148),IF($A31=INT($D$8+$D$4),(LOOKUP($A31,Retraite!$A$7:$A$47,Retraite!$N$7:$N$47)/LOOKUP($A31,Barèmes!$A$65:$A$148,Barèmes!$C$65:$C$148))*(1-(INT($D$8)+1-$D$8)),0)))</f>
        <v>0</v>
      </c>
      <c r="F31" s="121">
        <f>IF($A31&lt;$D$5+$D$4,LOOKUP($A31,Cot_droits!$A$17:$A$68,Cot_droits!$Q$17:$Q$68)/LOOKUP($A31,Barèmes!$A$65:$A$148,Barèmes!$C$65:$C$148),0)</f>
        <v>8937.6840929020436</v>
      </c>
      <c r="G31" s="115"/>
      <c r="H31" s="131">
        <f>IF($A31&lt;$D$5+$D$4,0,IF(AND($A31&gt;=$D$5,$A31&lt;=INT($D$8)-1+$D$4),LOOKUP($A31,Retraite!$A$7:$A$47,Retraite!$L$7:$L$47)/LOOKUP($A31,Barèmes!$A$65:$A$148,Barèmes!$C$65:$C$148),IF($A31=INT($D$8+$D$4),(LOOKUP($A31,Retraite!$A$7:$A$47,Retraite!$L$7:$L$47)/LOOKUP($A31,Barèmes!$A$65:$A$148,Barèmes!$C$65:$C$148))*(1-(INT($D$8)+1-$D$8)),0)))</f>
        <v>0</v>
      </c>
      <c r="I31" s="151">
        <f>IF($A31&lt;$D$5+$D$4,0,IF(AND($A31&gt;=$D$5,$A31&lt;=INT($D$8)-1+$D$4),LOOKUP($A31,Retraite!$A$7:$A$47,Retraite!$P$7:$P$47)/LOOKUP($A31,Barèmes!$A$65:$A$148,Barèmes!$C$65:$C$148),IF($A31=INT($D$8+$D$4),(LOOKUP($A31,Retraite!$A$7:$A$47,Retraite!$P$7:$P$47)/LOOKUP($A31,Barèmes!$A$65:$A$148,Barèmes!$C$65:$C$148))*(1-(INT($D$8)+1-$D$8)),0)))</f>
        <v>0</v>
      </c>
      <c r="J31" s="121">
        <f>IF($A31&lt;$D$5+$D$4,(LOOKUP($A31,Cot_droits!$A$17:$A$68,Cot_droits!$H$17:$H$68)+LOOKUP($A31,Cot_droits!$A$17:$A$68,Cot_droits!$L$17:$L$68))/LOOKUP($A31,Barèmes!$A$65:$A$148,Barèmes!$C$65:$C$148),0)</f>
        <v>5711.9569615111704</v>
      </c>
      <c r="L31" s="131">
        <f>IF($A31&lt;$D$5+$D$4,0,IF(AND($A31&gt;=$D$5,$A31&lt;=INT($D$8)-1+$D$4),LOOKUP($A31,Retraite!$A$7:$A$47,Retraite!$M$7:$M$47)/LOOKUP($A31,Barèmes!$A$65:$A$148,Barèmes!$C$65:$C$148),IF($A31=INT($D$8+$D$4),(LOOKUP($A31,Retraite!$A$7:$A$47,Retraite!$M$7:$M$47)/LOOKUP($A31,Barèmes!$A$65:$A$148,Barèmes!$C$65:$C$148))*(1-(INT($D$8)+1-$D$8)),0)))</f>
        <v>0</v>
      </c>
      <c r="M31" s="151">
        <f>IF($A31&lt;$D$5+$D$4,0,IF(AND($A31&gt;=$D$5,$A31&lt;=INT($D$8)-1+$D$4),LOOKUP($A31,Retraite!$A$7:$A$47,Retraite!$Q$7:$Q$47)/LOOKUP($A31,Barèmes!$A$65:$A$148,Barèmes!$C$65:$C$148),IF($A31=INT($D$8+$D$4),(LOOKUP($A31,Retraite!$A$7:$A$47,Retraite!$Q$7:$Q$47)/LOOKUP($A31,Barèmes!$A$65:$A$148,Barèmes!$C$65:$C$148))*(1-(INT($D$8)+1-$D$8)),0)))</f>
        <v>0</v>
      </c>
      <c r="N31" s="121">
        <f>IF($A31&lt;$D$5+$D$4,(LOOKUP($A31,Cot_droits!$A$17:$A$68,Cot_droits!$I$17:$I$68)+LOOKUP($A31,Cot_droits!$A$17:$A$68,Cot_droits!$J$17:$J$68)+LOOKUP($A31,Cot_droits!$A$17:$A$68,Cot_droits!$N$17:$N$68))/LOOKUP($A31,Barèmes!$A$65:$A$148,Barèmes!$C$65:$C$148),0)</f>
        <v>3225.7271313908723</v>
      </c>
      <c r="O31" s="115"/>
    </row>
    <row r="32" spans="1:15" s="43" customFormat="1" ht="15.75" customHeight="1" x14ac:dyDescent="0.25">
      <c r="A32" s="148">
        <f>TRI_prix!A26</f>
        <v>2031</v>
      </c>
      <c r="B32" s="121">
        <f>Cot_droits!C31/LOOKUP($A32,Barèmes!$A$65:$A$148,Barèmes!$C$65:$C$148)</f>
        <v>33082.66547289741</v>
      </c>
      <c r="C32" s="135"/>
      <c r="D32" s="131">
        <f>IF($A32&lt;$D$5+$D$4,0,IF(AND($A32&gt;=$D$5,$A32&lt;=INT($D$8)-1+$D$4),LOOKUP($A32,Retraite!$A$7:$A$47,Retraite!$K$7:$K$47)/LOOKUP($A32,Barèmes!$A$65:$A$148,Barèmes!$C$65:$C$148),IF($A32=INT($D$8+$D$4),(LOOKUP($A32,Retraite!$A$7:$A$47,Retraite!$K$7:$K$47)/LOOKUP($A32,Barèmes!$A$65:$A$148,Barèmes!$C$65:$C$148))*(1-(INT($D$8)+1-$D$8)),0)))</f>
        <v>0</v>
      </c>
      <c r="E32" s="151">
        <f>IF($A32&lt;$D$5+$D$4,0,IF(AND($A32&gt;=$D$5,$A32&lt;=INT($D$8)-1+$D$4),LOOKUP($A32,Retraite!$A$7:$A$47,Retraite!$N$7:$N$47)/LOOKUP($A32,Barèmes!$A$65:$A$148,Barèmes!$C$65:$C$148),IF($A32=INT($D$8+$D$4),(LOOKUP($A32,Retraite!$A$7:$A$47,Retraite!$N$7:$N$47)/LOOKUP($A32,Barèmes!$A$65:$A$148,Barèmes!$C$65:$C$148))*(1-(INT($D$8)+1-$D$8)),0)))</f>
        <v>0</v>
      </c>
      <c r="F32" s="121">
        <f>IF($A32&lt;$D$5+$D$4,LOOKUP($A32,Cot_droits!$A$17:$A$68,Cot_droits!$Q$17:$Q$68)/LOOKUP($A32,Barèmes!$A$65:$A$148,Barèmes!$C$65:$C$148),0)</f>
        <v>9188.3795084425255</v>
      </c>
      <c r="G32" s="115"/>
      <c r="H32" s="131">
        <f>IF($A32&lt;$D$5+$D$4,0,IF(AND($A32&gt;=$D$5,$A32&lt;=INT($D$8)-1+$D$4),LOOKUP($A32,Retraite!$A$7:$A$47,Retraite!$L$7:$L$47)/LOOKUP($A32,Barèmes!$A$65:$A$148,Barèmes!$C$65:$C$148),IF($A32=INT($D$8+$D$4),(LOOKUP($A32,Retraite!$A$7:$A$47,Retraite!$L$7:$L$47)/LOOKUP($A32,Barèmes!$A$65:$A$148,Barèmes!$C$65:$C$148))*(1-(INT($D$8)+1-$D$8)),0)))</f>
        <v>0</v>
      </c>
      <c r="I32" s="151">
        <f>IF($A32&lt;$D$5+$D$4,0,IF(AND($A32&gt;=$D$5,$A32&lt;=INT($D$8)-1+$D$4),LOOKUP($A32,Retraite!$A$7:$A$47,Retraite!$P$7:$P$47)/LOOKUP($A32,Barèmes!$A$65:$A$148,Barèmes!$C$65:$C$148),IF($A32=INT($D$8+$D$4),(LOOKUP($A32,Retraite!$A$7:$A$47,Retraite!$P$7:$P$47)/LOOKUP($A32,Barèmes!$A$65:$A$148,Barèmes!$C$65:$C$148))*(1-(INT($D$8)+1-$D$8)),0)))</f>
        <v>0</v>
      </c>
      <c r="J32" s="121">
        <f>IF($A32&lt;$D$5+$D$4,(LOOKUP($A32,Cot_droits!$A$17:$A$68,Cot_droits!$H$17:$H$68)+LOOKUP($A32,Cot_droits!$A$17:$A$68,Cot_droits!$L$17:$L$68))/LOOKUP($A32,Barèmes!$A$65:$A$148,Barèmes!$C$65:$C$148),0)</f>
        <v>5872.1731214392894</v>
      </c>
      <c r="L32" s="131">
        <f>IF($A32&lt;$D$5+$D$4,0,IF(AND($A32&gt;=$D$5,$A32&lt;=INT($D$8)-1+$D$4),LOOKUP($A32,Retraite!$A$7:$A$47,Retraite!$M$7:$M$47)/LOOKUP($A32,Barèmes!$A$65:$A$148,Barèmes!$C$65:$C$148),IF($A32=INT($D$8+$D$4),(LOOKUP($A32,Retraite!$A$7:$A$47,Retraite!$M$7:$M$47)/LOOKUP($A32,Barèmes!$A$65:$A$148,Barèmes!$C$65:$C$148))*(1-(INT($D$8)+1-$D$8)),0)))</f>
        <v>0</v>
      </c>
      <c r="M32" s="151">
        <f>IF($A32&lt;$D$5+$D$4,0,IF(AND($A32&gt;=$D$5,$A32&lt;=INT($D$8)-1+$D$4),LOOKUP($A32,Retraite!$A$7:$A$47,Retraite!$Q$7:$Q$47)/LOOKUP($A32,Barèmes!$A$65:$A$148,Barèmes!$C$65:$C$148),IF($A32=INT($D$8+$D$4),(LOOKUP($A32,Retraite!$A$7:$A$47,Retraite!$Q$7:$Q$47)/LOOKUP($A32,Barèmes!$A$65:$A$148,Barèmes!$C$65:$C$148))*(1-(INT($D$8)+1-$D$8)),0)))</f>
        <v>0</v>
      </c>
      <c r="N32" s="121">
        <f>IF($A32&lt;$D$5+$D$4,(LOOKUP($A32,Cot_droits!$A$17:$A$68,Cot_droits!$I$17:$I$68)+LOOKUP($A32,Cot_droits!$A$17:$A$68,Cot_droits!$J$17:$J$68)+LOOKUP($A32,Cot_droits!$A$17:$A$68,Cot_droits!$N$17:$N$68))/LOOKUP($A32,Barèmes!$A$65:$A$148,Barèmes!$C$65:$C$148),0)</f>
        <v>3316.2063870032357</v>
      </c>
      <c r="O32" s="115"/>
    </row>
    <row r="33" spans="1:15" s="43" customFormat="1" ht="15.75" customHeight="1" x14ac:dyDescent="0.25">
      <c r="A33" s="148">
        <f>TRI_prix!A27</f>
        <v>2032</v>
      </c>
      <c r="B33" s="121">
        <f>Cot_droits!C32/LOOKUP($A33,Barèmes!$A$65:$A$148,Barèmes!$C$65:$C$148)</f>
        <v>34408.139072377395</v>
      </c>
      <c r="C33" s="135"/>
      <c r="D33" s="131">
        <f>IF($A33&lt;$D$5+$D$4,0,IF(AND($A33&gt;=$D$5,$A33&lt;=INT($D$8)-1+$D$4),LOOKUP($A33,Retraite!$A$7:$A$47,Retraite!$K$7:$K$47)/LOOKUP($A33,Barèmes!$A$65:$A$148,Barèmes!$C$65:$C$148),IF($A33=INT($D$8+$D$4),(LOOKUP($A33,Retraite!$A$7:$A$47,Retraite!$K$7:$K$47)/LOOKUP($A33,Barèmes!$A$65:$A$148,Barèmes!$C$65:$C$148))*(1-(INT($D$8)+1-$D$8)),0)))</f>
        <v>0</v>
      </c>
      <c r="E33" s="151">
        <f>IF($A33&lt;$D$5+$D$4,0,IF(AND($A33&gt;=$D$5,$A33&lt;=INT($D$8)-1+$D$4),LOOKUP($A33,Retraite!$A$7:$A$47,Retraite!$N$7:$N$47)/LOOKUP($A33,Barèmes!$A$65:$A$148,Barèmes!$C$65:$C$148),IF($A33=INT($D$8+$D$4),(LOOKUP($A33,Retraite!$A$7:$A$47,Retraite!$N$7:$N$47)/LOOKUP($A33,Barèmes!$A$65:$A$148,Barèmes!$C$65:$C$148))*(1-(INT($D$8)+1-$D$8)),0)))</f>
        <v>0</v>
      </c>
      <c r="F33" s="121">
        <f>IF($A33&lt;$D$5+$D$4,LOOKUP($A33,Cot_droits!$A$17:$A$68,Cot_droits!$Q$17:$Q$68)/LOOKUP($A33,Barèmes!$A$65:$A$148,Barèmes!$C$65:$C$148),0)</f>
        <v>9556.5165459620948</v>
      </c>
      <c r="G33" s="115"/>
      <c r="H33" s="131">
        <f>IF($A33&lt;$D$5+$D$4,0,IF(AND($A33&gt;=$D$5,$A33&lt;=INT($D$8)-1+$D$4),LOOKUP($A33,Retraite!$A$7:$A$47,Retraite!$L$7:$L$47)/LOOKUP($A33,Barèmes!$A$65:$A$148,Barèmes!$C$65:$C$148),IF($A33=INT($D$8+$D$4),(LOOKUP($A33,Retraite!$A$7:$A$47,Retraite!$L$7:$L$47)/LOOKUP($A33,Barèmes!$A$65:$A$148,Barèmes!$C$65:$C$148))*(1-(INT($D$8)+1-$D$8)),0)))</f>
        <v>0</v>
      </c>
      <c r="I33" s="151">
        <f>IF($A33&lt;$D$5+$D$4,0,IF(AND($A33&gt;=$D$5,$A33&lt;=INT($D$8)-1+$D$4),LOOKUP($A33,Retraite!$A$7:$A$47,Retraite!$P$7:$P$47)/LOOKUP($A33,Barèmes!$A$65:$A$148,Barèmes!$C$65:$C$148),IF($A33=INT($D$8+$D$4),(LOOKUP($A33,Retraite!$A$7:$A$47,Retraite!$P$7:$P$47)/LOOKUP($A33,Barèmes!$A$65:$A$148,Barèmes!$C$65:$C$148))*(1-(INT($D$8)+1-$D$8)),0)))</f>
        <v>0</v>
      </c>
      <c r="J33" s="121">
        <f>IF($A33&lt;$D$5+$D$4,(LOOKUP($A33,Cot_droits!$A$17:$A$68,Cot_droits!$H$17:$H$68)+LOOKUP($A33,Cot_droits!$A$17:$A$68,Cot_droits!$L$17:$L$68))/LOOKUP($A33,Barèmes!$A$65:$A$148,Barèmes!$C$65:$C$148),0)</f>
        <v>6107.4446853469863</v>
      </c>
      <c r="L33" s="131">
        <f>IF($A33&lt;$D$5+$D$4,0,IF(AND($A33&gt;=$D$5,$A33&lt;=INT($D$8)-1+$D$4),LOOKUP($A33,Retraite!$A$7:$A$47,Retraite!$M$7:$M$47)/LOOKUP($A33,Barèmes!$A$65:$A$148,Barèmes!$C$65:$C$148),IF($A33=INT($D$8+$D$4),(LOOKUP($A33,Retraite!$A$7:$A$47,Retraite!$M$7:$M$47)/LOOKUP($A33,Barèmes!$A$65:$A$148,Barèmes!$C$65:$C$148))*(1-(INT($D$8)+1-$D$8)),0)))</f>
        <v>0</v>
      </c>
      <c r="M33" s="151">
        <f>IF($A33&lt;$D$5+$D$4,0,IF(AND($A33&gt;=$D$5,$A33&lt;=INT($D$8)-1+$D$4),LOOKUP($A33,Retraite!$A$7:$A$47,Retraite!$Q$7:$Q$47)/LOOKUP($A33,Barèmes!$A$65:$A$148,Barèmes!$C$65:$C$148),IF($A33=INT($D$8+$D$4),(LOOKUP($A33,Retraite!$A$7:$A$47,Retraite!$Q$7:$Q$47)/LOOKUP($A33,Barèmes!$A$65:$A$148,Barèmes!$C$65:$C$148))*(1-(INT($D$8)+1-$D$8)),0)))</f>
        <v>0</v>
      </c>
      <c r="N33" s="121">
        <f>IF($A33&lt;$D$5+$D$4,(LOOKUP($A33,Cot_droits!$A$17:$A$68,Cot_droits!$I$17:$I$68)+LOOKUP($A33,Cot_droits!$A$17:$A$68,Cot_droits!$J$17:$J$68)+LOOKUP($A33,Cot_droits!$A$17:$A$68,Cot_droits!$N$17:$N$68))/LOOKUP($A33,Barèmes!$A$65:$A$148,Barèmes!$C$65:$C$148),0)</f>
        <v>3449.0718606151099</v>
      </c>
      <c r="O33" s="115"/>
    </row>
    <row r="34" spans="1:15" s="43" customFormat="1" ht="15.75" customHeight="1" x14ac:dyDescent="0.25">
      <c r="A34" s="148">
        <f>TRI_prix!A28</f>
        <v>2033</v>
      </c>
      <c r="B34" s="121">
        <f>Cot_droits!C33/LOOKUP($A34,Barèmes!$A$65:$A$148,Barèmes!$C$65:$C$148)</f>
        <v>35947.738380177572</v>
      </c>
      <c r="C34" s="135"/>
      <c r="D34" s="131">
        <f>IF($A34&lt;$D$5+$D$4,0,IF(AND($A34&gt;=$D$5,$A34&lt;=INT($D$8)-1+$D$4),LOOKUP($A34,Retraite!$A$7:$A$47,Retraite!$K$7:$K$47)/LOOKUP($A34,Barèmes!$A$65:$A$148,Barèmes!$C$65:$C$148),IF($A34=INT($D$8+$D$4),(LOOKUP($A34,Retraite!$A$7:$A$47,Retraite!$K$7:$K$47)/LOOKUP($A34,Barèmes!$A$65:$A$148,Barèmes!$C$65:$C$148))*(1-(INT($D$8)+1-$D$8)),0)))</f>
        <v>0</v>
      </c>
      <c r="E34" s="151">
        <f>IF($A34&lt;$D$5+$D$4,0,IF(AND($A34&gt;=$D$5,$A34&lt;=INT($D$8)-1+$D$4),LOOKUP($A34,Retraite!$A$7:$A$47,Retraite!$N$7:$N$47)/LOOKUP($A34,Barèmes!$A$65:$A$148,Barèmes!$C$65:$C$148),IF($A34=INT($D$8+$D$4),(LOOKUP($A34,Retraite!$A$7:$A$47,Retraite!$N$7:$N$47)/LOOKUP($A34,Barèmes!$A$65:$A$148,Barèmes!$C$65:$C$148))*(1-(INT($D$8)+1-$D$8)),0)))</f>
        <v>0</v>
      </c>
      <c r="F34" s="121">
        <f>IF($A34&lt;$D$5+$D$4,LOOKUP($A34,Cot_droits!$A$17:$A$68,Cot_droits!$Q$17:$Q$68)/LOOKUP($A34,Barèmes!$A$65:$A$148,Barèmes!$C$65:$C$148),0)</f>
        <v>9984.124857710518</v>
      </c>
      <c r="G34" s="115"/>
      <c r="H34" s="131">
        <f>IF($A34&lt;$D$5+$D$4,0,IF(AND($A34&gt;=$D$5,$A34&lt;=INT($D$8)-1+$D$4),LOOKUP($A34,Retraite!$A$7:$A$47,Retraite!$L$7:$L$47)/LOOKUP($A34,Barèmes!$A$65:$A$148,Barèmes!$C$65:$C$148),IF($A34=INT($D$8+$D$4),(LOOKUP($A34,Retraite!$A$7:$A$47,Retraite!$L$7:$L$47)/LOOKUP($A34,Barèmes!$A$65:$A$148,Barèmes!$C$65:$C$148))*(1-(INT($D$8)+1-$D$8)),0)))</f>
        <v>0</v>
      </c>
      <c r="I34" s="151">
        <f>IF($A34&lt;$D$5+$D$4,0,IF(AND($A34&gt;=$D$5,$A34&lt;=INT($D$8)-1+$D$4),LOOKUP($A34,Retraite!$A$7:$A$47,Retraite!$P$7:$P$47)/LOOKUP($A34,Barèmes!$A$65:$A$148,Barèmes!$C$65:$C$148),IF($A34=INT($D$8+$D$4),(LOOKUP($A34,Retraite!$A$7:$A$47,Retraite!$P$7:$P$47)/LOOKUP($A34,Barèmes!$A$65:$A$148,Barèmes!$C$65:$C$148))*(1-(INT($D$8)+1-$D$8)),0)))</f>
        <v>0</v>
      </c>
      <c r="J34" s="121">
        <f>IF($A34&lt;$D$5+$D$4,(LOOKUP($A34,Cot_droits!$A$17:$A$68,Cot_droits!$H$17:$H$68)+LOOKUP($A34,Cot_droits!$A$17:$A$68,Cot_droits!$L$17:$L$68))/LOOKUP($A34,Barèmes!$A$65:$A$148,Barèmes!$C$65:$C$148),0)</f>
        <v>6380.7235624815185</v>
      </c>
      <c r="L34" s="131">
        <f>IF($A34&lt;$D$5+$D$4,0,IF(AND($A34&gt;=$D$5,$A34&lt;=INT($D$8)-1+$D$4),LOOKUP($A34,Retraite!$A$7:$A$47,Retraite!$M$7:$M$47)/LOOKUP($A34,Barèmes!$A$65:$A$148,Barèmes!$C$65:$C$148),IF($A34=INT($D$8+$D$4),(LOOKUP($A34,Retraite!$A$7:$A$47,Retraite!$M$7:$M$47)/LOOKUP($A34,Barèmes!$A$65:$A$148,Barèmes!$C$65:$C$148))*(1-(INT($D$8)+1-$D$8)),0)))</f>
        <v>0</v>
      </c>
      <c r="M34" s="151">
        <f>IF($A34&lt;$D$5+$D$4,0,IF(AND($A34&gt;=$D$5,$A34&lt;=INT($D$8)-1+$D$4),LOOKUP($A34,Retraite!$A$7:$A$47,Retraite!$Q$7:$Q$47)/LOOKUP($A34,Barèmes!$A$65:$A$148,Barèmes!$C$65:$C$148),IF($A34=INT($D$8+$D$4),(LOOKUP($A34,Retraite!$A$7:$A$47,Retraite!$Q$7:$Q$47)/LOOKUP($A34,Barèmes!$A$65:$A$148,Barèmes!$C$65:$C$148))*(1-(INT($D$8)+1-$D$8)),0)))</f>
        <v>0</v>
      </c>
      <c r="N34" s="121">
        <f>IF($A34&lt;$D$5+$D$4,(LOOKUP($A34,Cot_droits!$A$17:$A$68,Cot_droits!$I$17:$I$68)+LOOKUP($A34,Cot_droits!$A$17:$A$68,Cot_droits!$J$17:$J$68)+LOOKUP($A34,Cot_droits!$A$17:$A$68,Cot_droits!$N$17:$N$68))/LOOKUP($A34,Barèmes!$A$65:$A$148,Barèmes!$C$65:$C$148),0)</f>
        <v>3603.401295229</v>
      </c>
      <c r="O34" s="115"/>
    </row>
    <row r="35" spans="1:15" s="43" customFormat="1" ht="15.75" customHeight="1" x14ac:dyDescent="0.25">
      <c r="A35" s="148">
        <f>TRI_prix!A29</f>
        <v>2034</v>
      </c>
      <c r="B35" s="121">
        <f>Cot_droits!C34/LOOKUP($A35,Barèmes!$A$65:$A$148,Barèmes!$C$65:$C$148)</f>
        <v>37696.855462781175</v>
      </c>
      <c r="C35" s="135"/>
      <c r="D35" s="131">
        <f>IF($A35&lt;$D$5+$D$4,0,IF(AND($A35&gt;=$D$5,$A35&lt;=INT($D$8)-1+$D$4),LOOKUP($A35,Retraite!$A$7:$A$47,Retraite!$K$7:$K$47)/LOOKUP($A35,Barèmes!$A$65:$A$148,Barèmes!$C$65:$C$148),IF($A35=INT($D$8+$D$4),(LOOKUP($A35,Retraite!$A$7:$A$47,Retraite!$K$7:$K$47)/LOOKUP($A35,Barèmes!$A$65:$A$148,Barèmes!$C$65:$C$148))*(1-(INT($D$8)+1-$D$8)),0)))</f>
        <v>0</v>
      </c>
      <c r="E35" s="151">
        <f>IF($A35&lt;$D$5+$D$4,0,IF(AND($A35&gt;=$D$5,$A35&lt;=INT($D$8)-1+$D$4),LOOKUP($A35,Retraite!$A$7:$A$47,Retraite!$N$7:$N$47)/LOOKUP($A35,Barèmes!$A$65:$A$148,Barèmes!$C$65:$C$148),IF($A35=INT($D$8+$D$4),(LOOKUP($A35,Retraite!$A$7:$A$47,Retraite!$N$7:$N$47)/LOOKUP($A35,Barèmes!$A$65:$A$148,Barèmes!$C$65:$C$148))*(1-(INT($D$8)+1-$D$8)),0)))</f>
        <v>0</v>
      </c>
      <c r="F35" s="121">
        <f>IF($A35&lt;$D$5+$D$4,LOOKUP($A35,Cot_droits!$A$17:$A$68,Cot_droits!$Q$17:$Q$68)/LOOKUP($A35,Barèmes!$A$65:$A$148,Barèmes!$C$65:$C$148),0)</f>
        <v>10469.924636232843</v>
      </c>
      <c r="G35" s="115"/>
      <c r="H35" s="131">
        <f>IF($A35&lt;$D$5+$D$4,0,IF(AND($A35&gt;=$D$5,$A35&lt;=INT($D$8)-1+$D$4),LOOKUP($A35,Retraite!$A$7:$A$47,Retraite!$L$7:$L$47)/LOOKUP($A35,Barèmes!$A$65:$A$148,Barèmes!$C$65:$C$148),IF($A35=INT($D$8+$D$4),(LOOKUP($A35,Retraite!$A$7:$A$47,Retraite!$L$7:$L$47)/LOOKUP($A35,Barèmes!$A$65:$A$148,Barèmes!$C$65:$C$148))*(1-(INT($D$8)+1-$D$8)),0)))</f>
        <v>0</v>
      </c>
      <c r="I35" s="151">
        <f>IF($A35&lt;$D$5+$D$4,0,IF(AND($A35&gt;=$D$5,$A35&lt;=INT($D$8)-1+$D$4),LOOKUP($A35,Retraite!$A$7:$A$47,Retraite!$P$7:$P$47)/LOOKUP($A35,Barèmes!$A$65:$A$148,Barèmes!$C$65:$C$148),IF($A35=INT($D$8+$D$4),(LOOKUP($A35,Retraite!$A$7:$A$47,Retraite!$P$7:$P$47)/LOOKUP($A35,Barèmes!$A$65:$A$148,Barèmes!$C$65:$C$148))*(1-(INT($D$8)+1-$D$8)),0)))</f>
        <v>0</v>
      </c>
      <c r="J35" s="121">
        <f>IF($A35&lt;$D$5+$D$4,(LOOKUP($A35,Cot_droits!$A$17:$A$68,Cot_droits!$H$17:$H$68)+LOOKUP($A35,Cot_droits!$A$17:$A$68,Cot_droits!$L$17:$L$68))/LOOKUP($A35,Barèmes!$A$65:$A$148,Barèmes!$C$65:$C$148),0)</f>
        <v>6691.1918446436584</v>
      </c>
      <c r="L35" s="131">
        <f>IF($A35&lt;$D$5+$D$4,0,IF(AND($A35&gt;=$D$5,$A35&lt;=INT($D$8)-1+$D$4),LOOKUP($A35,Retraite!$A$7:$A$47,Retraite!$M$7:$M$47)/LOOKUP($A35,Barèmes!$A$65:$A$148,Barèmes!$C$65:$C$148),IF($A35=INT($D$8+$D$4),(LOOKUP($A35,Retraite!$A$7:$A$47,Retraite!$M$7:$M$47)/LOOKUP($A35,Barèmes!$A$65:$A$148,Barèmes!$C$65:$C$148))*(1-(INT($D$8)+1-$D$8)),0)))</f>
        <v>0</v>
      </c>
      <c r="M35" s="151">
        <f>IF($A35&lt;$D$5+$D$4,0,IF(AND($A35&gt;=$D$5,$A35&lt;=INT($D$8)-1+$D$4),LOOKUP($A35,Retraite!$A$7:$A$47,Retraite!$Q$7:$Q$47)/LOOKUP($A35,Barèmes!$A$65:$A$148,Barèmes!$C$65:$C$148),IF($A35=INT($D$8+$D$4),(LOOKUP($A35,Retraite!$A$7:$A$47,Retraite!$Q$7:$Q$47)/LOOKUP($A35,Barèmes!$A$65:$A$148,Barèmes!$C$65:$C$148))*(1-(INT($D$8)+1-$D$8)),0)))</f>
        <v>0</v>
      </c>
      <c r="N35" s="121">
        <f>IF($A35&lt;$D$5+$D$4,(LOOKUP($A35,Cot_droits!$A$17:$A$68,Cot_droits!$I$17:$I$68)+LOOKUP($A35,Cot_droits!$A$17:$A$68,Cot_droits!$J$17:$J$68)+LOOKUP($A35,Cot_droits!$A$17:$A$68,Cot_droits!$N$17:$N$68))/LOOKUP($A35,Barèmes!$A$65:$A$148,Barèmes!$C$65:$C$148),0)</f>
        <v>3778.7327915891851</v>
      </c>
      <c r="O35" s="115"/>
    </row>
    <row r="36" spans="1:15" s="43" customFormat="1" ht="15.75" customHeight="1" x14ac:dyDescent="0.25">
      <c r="A36" s="148">
        <f>TRI_prix!A30</f>
        <v>2035</v>
      </c>
      <c r="B36" s="121">
        <f>Cot_droits!C35/LOOKUP($A36,Barèmes!$A$65:$A$148,Barèmes!$C$65:$C$148)</f>
        <v>39144.859862102625</v>
      </c>
      <c r="C36" s="135"/>
      <c r="D36" s="131">
        <f>IF($A36&lt;$D$5+$D$4,0,IF(AND($A36&gt;=$D$5,$A36&lt;=INT($D$8)-1+$D$4),LOOKUP($A36,Retraite!$A$7:$A$47,Retraite!$K$7:$K$47)/LOOKUP($A36,Barèmes!$A$65:$A$148,Barèmes!$C$65:$C$148),IF($A36=INT($D$8+$D$4),(LOOKUP($A36,Retraite!$A$7:$A$47,Retraite!$K$7:$K$47)/LOOKUP($A36,Barèmes!$A$65:$A$148,Barèmes!$C$65:$C$148))*(1-(INT($D$8)+1-$D$8)),0)))</f>
        <v>0</v>
      </c>
      <c r="E36" s="151">
        <f>IF($A36&lt;$D$5+$D$4,0,IF(AND($A36&gt;=$D$5,$A36&lt;=INT($D$8)-1+$D$4),LOOKUP($A36,Retraite!$A$7:$A$47,Retraite!$N$7:$N$47)/LOOKUP($A36,Barèmes!$A$65:$A$148,Barèmes!$C$65:$C$148),IF($A36=INT($D$8+$D$4),(LOOKUP($A36,Retraite!$A$7:$A$47,Retraite!$N$7:$N$47)/LOOKUP($A36,Barèmes!$A$65:$A$148,Barèmes!$C$65:$C$148))*(1-(INT($D$8)+1-$D$8)),0)))</f>
        <v>0</v>
      </c>
      <c r="F36" s="121">
        <f>IF($A36&lt;$D$5+$D$4,LOOKUP($A36,Cot_droits!$A$17:$A$68,Cot_droits!$Q$17:$Q$68)/LOOKUP($A36,Barèmes!$A$65:$A$148,Barèmes!$C$65:$C$148),0)</f>
        <v>10872.093378100382</v>
      </c>
      <c r="G36" s="115"/>
      <c r="H36" s="131">
        <f>IF($A36&lt;$D$5+$D$4,0,IF(AND($A36&gt;=$D$5,$A36&lt;=INT($D$8)-1+$D$4),LOOKUP($A36,Retraite!$A$7:$A$47,Retraite!$L$7:$L$47)/LOOKUP($A36,Barèmes!$A$65:$A$148,Barèmes!$C$65:$C$148),IF($A36=INT($D$8+$D$4),(LOOKUP($A36,Retraite!$A$7:$A$47,Retraite!$L$7:$L$47)/LOOKUP($A36,Barèmes!$A$65:$A$148,Barèmes!$C$65:$C$148))*(1-(INT($D$8)+1-$D$8)),0)))</f>
        <v>0</v>
      </c>
      <c r="I36" s="151">
        <f>IF($A36&lt;$D$5+$D$4,0,IF(AND($A36&gt;=$D$5,$A36&lt;=INT($D$8)-1+$D$4),LOOKUP($A36,Retraite!$A$7:$A$47,Retraite!$P$7:$P$47)/LOOKUP($A36,Barèmes!$A$65:$A$148,Barèmes!$C$65:$C$148),IF($A36=INT($D$8+$D$4),(LOOKUP($A36,Retraite!$A$7:$A$47,Retraite!$P$7:$P$47)/LOOKUP($A36,Barèmes!$A$65:$A$148,Barèmes!$C$65:$C$148))*(1-(INT($D$8)+1-$D$8)),0)))</f>
        <v>0</v>
      </c>
      <c r="J36" s="121">
        <f>IF($A36&lt;$D$5+$D$4,(LOOKUP($A36,Cot_droits!$A$17:$A$68,Cot_droits!$H$17:$H$68)+LOOKUP($A36,Cot_droits!$A$17:$A$68,Cot_droits!$L$17:$L$68))/LOOKUP($A36,Barèmes!$A$65:$A$148,Barèmes!$C$65:$C$148),0)</f>
        <v>6948.212625523216</v>
      </c>
      <c r="L36" s="131">
        <f>IF($A36&lt;$D$5+$D$4,0,IF(AND($A36&gt;=$D$5,$A36&lt;=INT($D$8)-1+$D$4),LOOKUP($A36,Retraite!$A$7:$A$47,Retraite!$M$7:$M$47)/LOOKUP($A36,Barèmes!$A$65:$A$148,Barèmes!$C$65:$C$148),IF($A36=INT($D$8+$D$4),(LOOKUP($A36,Retraite!$A$7:$A$47,Retraite!$M$7:$M$47)/LOOKUP($A36,Barèmes!$A$65:$A$148,Barèmes!$C$65:$C$148))*(1-(INT($D$8)+1-$D$8)),0)))</f>
        <v>0</v>
      </c>
      <c r="M36" s="151">
        <f>IF($A36&lt;$D$5+$D$4,0,IF(AND($A36&gt;=$D$5,$A36&lt;=INT($D$8)-1+$D$4),LOOKUP($A36,Retraite!$A$7:$A$47,Retraite!$Q$7:$Q$47)/LOOKUP($A36,Barèmes!$A$65:$A$148,Barèmes!$C$65:$C$148),IF($A36=INT($D$8+$D$4),(LOOKUP($A36,Retraite!$A$7:$A$47,Retraite!$Q$7:$Q$47)/LOOKUP($A36,Barèmes!$A$65:$A$148,Barèmes!$C$65:$C$148))*(1-(INT($D$8)+1-$D$8)),0)))</f>
        <v>0</v>
      </c>
      <c r="N36" s="121">
        <f>IF($A36&lt;$D$5+$D$4,(LOOKUP($A36,Cot_droits!$A$17:$A$68,Cot_droits!$I$17:$I$68)+LOOKUP($A36,Cot_droits!$A$17:$A$68,Cot_droits!$J$17:$J$68)+LOOKUP($A36,Cot_droits!$A$17:$A$68,Cot_droits!$N$17:$N$68))/LOOKUP($A36,Barèmes!$A$65:$A$148,Barèmes!$C$65:$C$148),0)</f>
        <v>3923.8807525771672</v>
      </c>
      <c r="O36" s="115"/>
    </row>
    <row r="37" spans="1:15" s="43" customFormat="1" ht="15.75" customHeight="1" x14ac:dyDescent="0.25">
      <c r="A37" s="148">
        <f>TRI_prix!A31</f>
        <v>2036</v>
      </c>
      <c r="B37" s="121">
        <f>Cot_droits!C36/LOOKUP($A37,Barèmes!$A$65:$A$148,Barèmes!$C$65:$C$148)</f>
        <v>39897.030658414449</v>
      </c>
      <c r="C37" s="135"/>
      <c r="D37" s="131">
        <f>IF($A37&lt;$D$5+$D$4,0,IF(AND($A37&gt;=$D$5,$A37&lt;=INT($D$8)-1+$D$4),LOOKUP($A37,Retraite!$A$7:$A$47,Retraite!$K$7:$K$47)/LOOKUP($A37,Barèmes!$A$65:$A$148,Barèmes!$C$65:$C$148),IF($A37=INT($D$8+$D$4),(LOOKUP($A37,Retraite!$A$7:$A$47,Retraite!$K$7:$K$47)/LOOKUP($A37,Barèmes!$A$65:$A$148,Barèmes!$C$65:$C$148))*(1-(INT($D$8)+1-$D$8)),0)))</f>
        <v>0</v>
      </c>
      <c r="E37" s="151">
        <f>IF($A37&lt;$D$5+$D$4,0,IF(AND($A37&gt;=$D$5,$A37&lt;=INT($D$8)-1+$D$4),LOOKUP($A37,Retraite!$A$7:$A$47,Retraite!$N$7:$N$47)/LOOKUP($A37,Barèmes!$A$65:$A$148,Barèmes!$C$65:$C$148),IF($A37=INT($D$8+$D$4),(LOOKUP($A37,Retraite!$A$7:$A$47,Retraite!$N$7:$N$47)/LOOKUP($A37,Barèmes!$A$65:$A$148,Barèmes!$C$65:$C$148))*(1-(INT($D$8)+1-$D$8)),0)))</f>
        <v>0</v>
      </c>
      <c r="F37" s="121">
        <f>IF($A37&lt;$D$5+$D$4,LOOKUP($A37,Cot_droits!$A$17:$A$68,Cot_droits!$Q$17:$Q$68)/LOOKUP($A37,Barèmes!$A$65:$A$148,Barèmes!$C$65:$C$148),0)</f>
        <v>11081.001295068028</v>
      </c>
      <c r="G37" s="115"/>
      <c r="H37" s="131">
        <f>IF($A37&lt;$D$5+$D$4,0,IF(AND($A37&gt;=$D$5,$A37&lt;=INT($D$8)-1+$D$4),LOOKUP($A37,Retraite!$A$7:$A$47,Retraite!$L$7:$L$47)/LOOKUP($A37,Barèmes!$A$65:$A$148,Barèmes!$C$65:$C$148),IF($A37=INT($D$8+$D$4),(LOOKUP($A37,Retraite!$A$7:$A$47,Retraite!$L$7:$L$47)/LOOKUP($A37,Barèmes!$A$65:$A$148,Barèmes!$C$65:$C$148))*(1-(INT($D$8)+1-$D$8)),0)))</f>
        <v>0</v>
      </c>
      <c r="I37" s="151">
        <f>IF($A37&lt;$D$5+$D$4,0,IF(AND($A37&gt;=$D$5,$A37&lt;=INT($D$8)-1+$D$4),LOOKUP($A37,Retraite!$A$7:$A$47,Retraite!$P$7:$P$47)/LOOKUP($A37,Barèmes!$A$65:$A$148,Barèmes!$C$65:$C$148),IF($A37=INT($D$8+$D$4),(LOOKUP($A37,Retraite!$A$7:$A$47,Retraite!$P$7:$P$47)/LOOKUP($A37,Barèmes!$A$65:$A$148,Barèmes!$C$65:$C$148))*(1-(INT($D$8)+1-$D$8)),0)))</f>
        <v>0</v>
      </c>
      <c r="J37" s="121">
        <f>IF($A37&lt;$D$5+$D$4,(LOOKUP($A37,Cot_droits!$A$17:$A$68,Cot_droits!$H$17:$H$68)+LOOKUP($A37,Cot_droits!$A$17:$A$68,Cot_droits!$L$17:$L$68))/LOOKUP($A37,Barèmes!$A$65:$A$148,Barèmes!$C$65:$C$148),0)</f>
        <v>7081.7229418685647</v>
      </c>
      <c r="L37" s="131">
        <f>IF($A37&lt;$D$5+$D$4,0,IF(AND($A37&gt;=$D$5,$A37&lt;=INT($D$8)-1+$D$4),LOOKUP($A37,Retraite!$A$7:$A$47,Retraite!$M$7:$M$47)/LOOKUP($A37,Barèmes!$A$65:$A$148,Barèmes!$C$65:$C$148),IF($A37=INT($D$8+$D$4),(LOOKUP($A37,Retraite!$A$7:$A$47,Retraite!$M$7:$M$47)/LOOKUP($A37,Barèmes!$A$65:$A$148,Barèmes!$C$65:$C$148))*(1-(INT($D$8)+1-$D$8)),0)))</f>
        <v>0</v>
      </c>
      <c r="M37" s="151">
        <f>IF($A37&lt;$D$5+$D$4,0,IF(AND($A37&gt;=$D$5,$A37&lt;=INT($D$8)-1+$D$4),LOOKUP($A37,Retraite!$A$7:$A$47,Retraite!$Q$7:$Q$47)/LOOKUP($A37,Barèmes!$A$65:$A$148,Barèmes!$C$65:$C$148),IF($A37=INT($D$8+$D$4),(LOOKUP($A37,Retraite!$A$7:$A$47,Retraite!$Q$7:$Q$47)/LOOKUP($A37,Barèmes!$A$65:$A$148,Barèmes!$C$65:$C$148))*(1-(INT($D$8)+1-$D$8)),0)))</f>
        <v>0</v>
      </c>
      <c r="N37" s="121">
        <f>IF($A37&lt;$D$5+$D$4,(LOOKUP($A37,Cot_droits!$A$17:$A$68,Cot_droits!$I$17:$I$68)+LOOKUP($A37,Cot_droits!$A$17:$A$68,Cot_droits!$J$17:$J$68)+LOOKUP($A37,Cot_droits!$A$17:$A$68,Cot_droits!$N$17:$N$68))/LOOKUP($A37,Barèmes!$A$65:$A$148,Barèmes!$C$65:$C$148),0)</f>
        <v>3999.2783531994642</v>
      </c>
      <c r="O37" s="115"/>
    </row>
    <row r="38" spans="1:15" s="43" customFormat="1" ht="15.75" customHeight="1" x14ac:dyDescent="0.25">
      <c r="A38" s="148">
        <f>TRI_prix!A32</f>
        <v>2037</v>
      </c>
      <c r="B38" s="121">
        <f>Cot_droits!C37/LOOKUP($A38,Barèmes!$A$65:$A$148,Barèmes!$C$65:$C$148)</f>
        <v>41722.460209118348</v>
      </c>
      <c r="C38" s="135"/>
      <c r="D38" s="131">
        <f>IF($A38&lt;$D$5+$D$4,0,IF(AND($A38&gt;=$D$5,$A38&lt;=INT($D$8)-1+$D$4),LOOKUP($A38,Retraite!$A$7:$A$47,Retraite!$K$7:$K$47)/LOOKUP($A38,Barèmes!$A$65:$A$148,Barèmes!$C$65:$C$148),IF($A38=INT($D$8+$D$4),(LOOKUP($A38,Retraite!$A$7:$A$47,Retraite!$K$7:$K$47)/LOOKUP($A38,Barèmes!$A$65:$A$148,Barèmes!$C$65:$C$148))*(1-(INT($D$8)+1-$D$8)),0)))</f>
        <v>0</v>
      </c>
      <c r="E38" s="151">
        <f>IF($A38&lt;$D$5+$D$4,0,IF(AND($A38&gt;=$D$5,$A38&lt;=INT($D$8)-1+$D$4),LOOKUP($A38,Retraite!$A$7:$A$47,Retraite!$N$7:$N$47)/LOOKUP($A38,Barèmes!$A$65:$A$148,Barèmes!$C$65:$C$148),IF($A38=INT($D$8+$D$4),(LOOKUP($A38,Retraite!$A$7:$A$47,Retraite!$N$7:$N$47)/LOOKUP($A38,Barèmes!$A$65:$A$148,Barèmes!$C$65:$C$148))*(1-(INT($D$8)+1-$D$8)),0)))</f>
        <v>0</v>
      </c>
      <c r="F38" s="121">
        <f>IF($A38&lt;$D$5+$D$4,LOOKUP($A38,Cot_droits!$A$17:$A$68,Cot_droits!$Q$17:$Q$68)/LOOKUP($A38,Barèmes!$A$65:$A$148,Barèmes!$C$65:$C$148),0)</f>
        <v>11587.996098480531</v>
      </c>
      <c r="G38" s="115"/>
      <c r="H38" s="131">
        <f>IF($A38&lt;$D$5+$D$4,0,IF(AND($A38&gt;=$D$5,$A38&lt;=INT($D$8)-1+$D$4),LOOKUP($A38,Retraite!$A$7:$A$47,Retraite!$L$7:$L$47)/LOOKUP($A38,Barèmes!$A$65:$A$148,Barèmes!$C$65:$C$148),IF($A38=INT($D$8+$D$4),(LOOKUP($A38,Retraite!$A$7:$A$47,Retraite!$L$7:$L$47)/LOOKUP($A38,Barèmes!$A$65:$A$148,Barèmes!$C$65:$C$148))*(1-(INT($D$8)+1-$D$8)),0)))</f>
        <v>0</v>
      </c>
      <c r="I38" s="151">
        <f>IF($A38&lt;$D$5+$D$4,0,IF(AND($A38&gt;=$D$5,$A38&lt;=INT($D$8)-1+$D$4),LOOKUP($A38,Retraite!$A$7:$A$47,Retraite!$P$7:$P$47)/LOOKUP($A38,Barèmes!$A$65:$A$148,Barèmes!$C$65:$C$148),IF($A38=INT($D$8+$D$4),(LOOKUP($A38,Retraite!$A$7:$A$47,Retraite!$P$7:$P$47)/LOOKUP($A38,Barèmes!$A$65:$A$148,Barèmes!$C$65:$C$148))*(1-(INT($D$8)+1-$D$8)),0)))</f>
        <v>0</v>
      </c>
      <c r="J38" s="121">
        <f>IF($A38&lt;$D$5+$D$4,(LOOKUP($A38,Cot_droits!$A$17:$A$68,Cot_droits!$H$17:$H$68)+LOOKUP($A38,Cot_droits!$A$17:$A$68,Cot_droits!$L$17:$L$68))/LOOKUP($A38,Barèmes!$A$65:$A$148,Barèmes!$C$65:$C$148),0)</f>
        <v>7405.7366871185068</v>
      </c>
      <c r="L38" s="131">
        <f>IF($A38&lt;$D$5+$D$4,0,IF(AND($A38&gt;=$D$5,$A38&lt;=INT($D$8)-1+$D$4),LOOKUP($A38,Retraite!$A$7:$A$47,Retraite!$M$7:$M$47)/LOOKUP($A38,Barèmes!$A$65:$A$148,Barèmes!$C$65:$C$148),IF($A38=INT($D$8+$D$4),(LOOKUP($A38,Retraite!$A$7:$A$47,Retraite!$M$7:$M$47)/LOOKUP($A38,Barèmes!$A$65:$A$148,Barèmes!$C$65:$C$148))*(1-(INT($D$8)+1-$D$8)),0)))</f>
        <v>0</v>
      </c>
      <c r="M38" s="151">
        <f>IF($A38&lt;$D$5+$D$4,0,IF(AND($A38&gt;=$D$5,$A38&lt;=INT($D$8)-1+$D$4),LOOKUP($A38,Retraite!$A$7:$A$47,Retraite!$Q$7:$Q$47)/LOOKUP($A38,Barèmes!$A$65:$A$148,Barèmes!$C$65:$C$148),IF($A38=INT($D$8+$D$4),(LOOKUP($A38,Retraite!$A$7:$A$47,Retraite!$Q$7:$Q$47)/LOOKUP($A38,Barèmes!$A$65:$A$148,Barèmes!$C$65:$C$148))*(1-(INT($D$8)+1-$D$8)),0)))</f>
        <v>0</v>
      </c>
      <c r="N38" s="121">
        <f>IF($A38&lt;$D$5+$D$4,(LOOKUP($A38,Cot_droits!$A$17:$A$68,Cot_droits!$I$17:$I$68)+LOOKUP($A38,Cot_droits!$A$17:$A$68,Cot_droits!$J$17:$J$68)+LOOKUP($A38,Cot_droits!$A$17:$A$68,Cot_droits!$N$17:$N$68))/LOOKUP($A38,Barèmes!$A$65:$A$148,Barèmes!$C$65:$C$148),0)</f>
        <v>4182.2594113620235</v>
      </c>
      <c r="O38" s="115"/>
    </row>
    <row r="39" spans="1:15" s="43" customFormat="1" ht="15.75" customHeight="1" x14ac:dyDescent="0.25">
      <c r="A39" s="148">
        <f>TRI_prix!A33</f>
        <v>2038</v>
      </c>
      <c r="B39" s="121">
        <f>Cot_droits!C38/LOOKUP($A39,Barèmes!$A$65:$A$148,Barèmes!$C$65:$C$148)</f>
        <v>42386.615650783329</v>
      </c>
      <c r="C39" s="135"/>
      <c r="D39" s="131">
        <f>IF($A39&lt;$D$5+$D$4,0,IF(AND($A39&gt;=$D$5,$A39&lt;=INT($D$8)-1+$D$4),LOOKUP($A39,Retraite!$A$7:$A$47,Retraite!$K$7:$K$47)/LOOKUP($A39,Barèmes!$A$65:$A$148,Barèmes!$C$65:$C$148),IF($A39=INT($D$8+$D$4),(LOOKUP($A39,Retraite!$A$7:$A$47,Retraite!$K$7:$K$47)/LOOKUP($A39,Barèmes!$A$65:$A$148,Barèmes!$C$65:$C$148))*(1-(INT($D$8)+1-$D$8)),0)))</f>
        <v>0</v>
      </c>
      <c r="E39" s="151">
        <f>IF($A39&lt;$D$5+$D$4,0,IF(AND($A39&gt;=$D$5,$A39&lt;=INT($D$8)-1+$D$4),LOOKUP($A39,Retraite!$A$7:$A$47,Retraite!$N$7:$N$47)/LOOKUP($A39,Barèmes!$A$65:$A$148,Barèmes!$C$65:$C$148),IF($A39=INT($D$8+$D$4),(LOOKUP($A39,Retraite!$A$7:$A$47,Retraite!$N$7:$N$47)/LOOKUP($A39,Barèmes!$A$65:$A$148,Barèmes!$C$65:$C$148))*(1-(INT($D$8)+1-$D$8)),0)))</f>
        <v>0</v>
      </c>
      <c r="F39" s="121">
        <f>IF($A39&lt;$D$5+$D$4,LOOKUP($A39,Cot_droits!$A$17:$A$68,Cot_droits!$Q$17:$Q$68)/LOOKUP($A39,Barèmes!$A$65:$A$148,Barèmes!$C$65:$C$148),0)</f>
        <v>11772.458630848563</v>
      </c>
      <c r="G39" s="115"/>
      <c r="H39" s="131">
        <f>IF($A39&lt;$D$5+$D$4,0,IF(AND($A39&gt;=$D$5,$A39&lt;=INT($D$8)-1+$D$4),LOOKUP($A39,Retraite!$A$7:$A$47,Retraite!$L$7:$L$47)/LOOKUP($A39,Barèmes!$A$65:$A$148,Barèmes!$C$65:$C$148),IF($A39=INT($D$8+$D$4),(LOOKUP($A39,Retraite!$A$7:$A$47,Retraite!$L$7:$L$47)/LOOKUP($A39,Barèmes!$A$65:$A$148,Barèmes!$C$65:$C$148))*(1-(INT($D$8)+1-$D$8)),0)))</f>
        <v>0</v>
      </c>
      <c r="I39" s="151">
        <f>IF($A39&lt;$D$5+$D$4,0,IF(AND($A39&gt;=$D$5,$A39&lt;=INT($D$8)-1+$D$4),LOOKUP($A39,Retraite!$A$7:$A$47,Retraite!$P$7:$P$47)/LOOKUP($A39,Barèmes!$A$65:$A$148,Barèmes!$C$65:$C$148),IF($A39=INT($D$8+$D$4),(LOOKUP($A39,Retraite!$A$7:$A$47,Retraite!$P$7:$P$47)/LOOKUP($A39,Barèmes!$A$65:$A$148,Barèmes!$C$65:$C$148))*(1-(INT($D$8)+1-$D$8)),0)))</f>
        <v>0</v>
      </c>
      <c r="J39" s="121">
        <f>IF($A39&lt;$D$5+$D$4,(LOOKUP($A39,Cot_droits!$A$17:$A$68,Cot_droits!$H$17:$H$68)+LOOKUP($A39,Cot_droits!$A$17:$A$68,Cot_droits!$L$17:$L$68))/LOOKUP($A39,Barèmes!$A$65:$A$148,Barèmes!$C$65:$C$148),0)</f>
        <v>7523.6242780140419</v>
      </c>
      <c r="L39" s="131">
        <f>IF($A39&lt;$D$5+$D$4,0,IF(AND($A39&gt;=$D$5,$A39&lt;=INT($D$8)-1+$D$4),LOOKUP($A39,Retraite!$A$7:$A$47,Retraite!$M$7:$M$47)/LOOKUP($A39,Barèmes!$A$65:$A$148,Barèmes!$C$65:$C$148),IF($A39=INT($D$8+$D$4),(LOOKUP($A39,Retraite!$A$7:$A$47,Retraite!$M$7:$M$47)/LOOKUP($A39,Barèmes!$A$65:$A$148,Barèmes!$C$65:$C$148))*(1-(INT($D$8)+1-$D$8)),0)))</f>
        <v>0</v>
      </c>
      <c r="M39" s="151">
        <f>IF($A39&lt;$D$5+$D$4,0,IF(AND($A39&gt;=$D$5,$A39&lt;=INT($D$8)-1+$D$4),LOOKUP($A39,Retraite!$A$7:$A$47,Retraite!$Q$7:$Q$47)/LOOKUP($A39,Barèmes!$A$65:$A$148,Barèmes!$C$65:$C$148),IF($A39=INT($D$8+$D$4),(LOOKUP($A39,Retraite!$A$7:$A$47,Retraite!$Q$7:$Q$47)/LOOKUP($A39,Barèmes!$A$65:$A$148,Barèmes!$C$65:$C$148))*(1-(INT($D$8)+1-$D$8)),0)))</f>
        <v>0</v>
      </c>
      <c r="N39" s="121">
        <f>IF($A39&lt;$D$5+$D$4,(LOOKUP($A39,Cot_droits!$A$17:$A$68,Cot_droits!$I$17:$I$68)+LOOKUP($A39,Cot_droits!$A$17:$A$68,Cot_droits!$J$17:$J$68)+LOOKUP($A39,Cot_droits!$A$17:$A$68,Cot_droits!$N$17:$N$68))/LOOKUP($A39,Barèmes!$A$65:$A$148,Barèmes!$C$65:$C$148),0)</f>
        <v>4248.8343528345213</v>
      </c>
      <c r="O39" s="115"/>
    </row>
    <row r="40" spans="1:15" s="43" customFormat="1" ht="15.75" customHeight="1" x14ac:dyDescent="0.25">
      <c r="A40" s="148">
        <f>TRI_prix!A34</f>
        <v>2039</v>
      </c>
      <c r="B40" s="121">
        <f>Cot_droits!C39/LOOKUP($A40,Barèmes!$A$65:$A$148,Barèmes!$C$65:$C$148)</f>
        <v>44329.186171753681</v>
      </c>
      <c r="C40" s="135"/>
      <c r="D40" s="131">
        <f>IF($A40&lt;$D$5+$D$4,0,IF(AND($A40&gt;=$D$5,$A40&lt;=INT($D$8)-1+$D$4),LOOKUP($A40,Retraite!$A$7:$A$47,Retraite!$K$7:$K$47)/LOOKUP($A40,Barèmes!$A$65:$A$148,Barèmes!$C$65:$C$148),IF($A40=INT($D$8+$D$4),(LOOKUP($A40,Retraite!$A$7:$A$47,Retraite!$K$7:$K$47)/LOOKUP($A40,Barèmes!$A$65:$A$148,Barèmes!$C$65:$C$148))*(1-(INT($D$8)+1-$D$8)),0)))</f>
        <v>0</v>
      </c>
      <c r="E40" s="151">
        <f>IF($A40&lt;$D$5+$D$4,0,IF(AND($A40&gt;=$D$5,$A40&lt;=INT($D$8)-1+$D$4),LOOKUP($A40,Retraite!$A$7:$A$47,Retraite!$N$7:$N$47)/LOOKUP($A40,Barèmes!$A$65:$A$148,Barèmes!$C$65:$C$148),IF($A40=INT($D$8+$D$4),(LOOKUP($A40,Retraite!$A$7:$A$47,Retraite!$N$7:$N$47)/LOOKUP($A40,Barèmes!$A$65:$A$148,Barèmes!$C$65:$C$148))*(1-(INT($D$8)+1-$D$8)),0)))</f>
        <v>0</v>
      </c>
      <c r="F40" s="121">
        <f>IF($A40&lt;$D$5+$D$4,LOOKUP($A40,Cot_droits!$A$17:$A$68,Cot_droits!$Q$17:$Q$68)/LOOKUP($A40,Barèmes!$A$65:$A$148,Barèmes!$C$65:$C$148),0)</f>
        <v>12311.988167342868</v>
      </c>
      <c r="G40" s="115"/>
      <c r="H40" s="131">
        <f>IF($A40&lt;$D$5+$D$4,0,IF(AND($A40&gt;=$D$5,$A40&lt;=INT($D$8)-1+$D$4),LOOKUP($A40,Retraite!$A$7:$A$47,Retraite!$L$7:$L$47)/LOOKUP($A40,Barèmes!$A$65:$A$148,Barèmes!$C$65:$C$148),IF($A40=INT($D$8+$D$4),(LOOKUP($A40,Retraite!$A$7:$A$47,Retraite!$L$7:$L$47)/LOOKUP($A40,Barèmes!$A$65:$A$148,Barèmes!$C$65:$C$148))*(1-(INT($D$8)+1-$D$8)),0)))</f>
        <v>0</v>
      </c>
      <c r="I40" s="151">
        <f>IF($A40&lt;$D$5+$D$4,0,IF(AND($A40&gt;=$D$5,$A40&lt;=INT($D$8)-1+$D$4),LOOKUP($A40,Retraite!$A$7:$A$47,Retraite!$P$7:$P$47)/LOOKUP($A40,Barèmes!$A$65:$A$148,Barèmes!$C$65:$C$148),IF($A40=INT($D$8+$D$4),(LOOKUP($A40,Retraite!$A$7:$A$47,Retraite!$P$7:$P$47)/LOOKUP($A40,Barèmes!$A$65:$A$148,Barèmes!$C$65:$C$148))*(1-(INT($D$8)+1-$D$8)),0)))</f>
        <v>0</v>
      </c>
      <c r="J40" s="121">
        <f>IF($A40&lt;$D$5+$D$4,(LOOKUP($A40,Cot_droits!$A$17:$A$68,Cot_droits!$H$17:$H$68)+LOOKUP($A40,Cot_droits!$A$17:$A$68,Cot_droits!$L$17:$L$68))/LOOKUP($A40,Barèmes!$A$65:$A$148,Barèmes!$C$65:$C$148),0)</f>
        <v>7868.4305454862779</v>
      </c>
      <c r="L40" s="131">
        <f>IF($A40&lt;$D$5+$D$4,0,IF(AND($A40&gt;=$D$5,$A40&lt;=INT($D$8)-1+$D$4),LOOKUP($A40,Retraite!$A$7:$A$47,Retraite!$M$7:$M$47)/LOOKUP($A40,Barèmes!$A$65:$A$148,Barèmes!$C$65:$C$148),IF($A40=INT($D$8+$D$4),(LOOKUP($A40,Retraite!$A$7:$A$47,Retraite!$M$7:$M$47)/LOOKUP($A40,Barèmes!$A$65:$A$148,Barèmes!$C$65:$C$148))*(1-(INT($D$8)+1-$D$8)),0)))</f>
        <v>0</v>
      </c>
      <c r="M40" s="151">
        <f>IF($A40&lt;$D$5+$D$4,0,IF(AND($A40&gt;=$D$5,$A40&lt;=INT($D$8)-1+$D$4),LOOKUP($A40,Retraite!$A$7:$A$47,Retraite!$Q$7:$Q$47)/LOOKUP($A40,Barèmes!$A$65:$A$148,Barèmes!$C$65:$C$148),IF($A40=INT($D$8+$D$4),(LOOKUP($A40,Retraite!$A$7:$A$47,Retraite!$Q$7:$Q$47)/LOOKUP($A40,Barèmes!$A$65:$A$148,Barèmes!$C$65:$C$148))*(1-(INT($D$8)+1-$D$8)),0)))</f>
        <v>0</v>
      </c>
      <c r="N40" s="121">
        <f>IF($A40&lt;$D$5+$D$4,(LOOKUP($A40,Cot_droits!$A$17:$A$68,Cot_droits!$I$17:$I$68)+LOOKUP($A40,Cot_droits!$A$17:$A$68,Cot_droits!$J$17:$J$68)+LOOKUP($A40,Cot_droits!$A$17:$A$68,Cot_droits!$N$17:$N$68))/LOOKUP($A40,Barèmes!$A$65:$A$148,Barèmes!$C$65:$C$148),0)</f>
        <v>4443.5576218565893</v>
      </c>
      <c r="O40" s="115"/>
    </row>
    <row r="41" spans="1:15" s="43" customFormat="1" ht="15.75" customHeight="1" x14ac:dyDescent="0.25">
      <c r="A41" s="148">
        <f>TRI_prix!A35</f>
        <v>2040</v>
      </c>
      <c r="B41" s="121">
        <f>Cot_droits!C40/LOOKUP($A41,Barèmes!$A$65:$A$148,Barèmes!$C$65:$C$148)</f>
        <v>44651.913508445286</v>
      </c>
      <c r="C41" s="135"/>
      <c r="D41" s="131">
        <f>IF($A41&lt;$D$5+$D$4,0,IF(AND($A41&gt;=$D$5,$A41&lt;=INT($D$8)-1+$D$4),LOOKUP($A41,Retraite!$A$7:$A$47,Retraite!$K$7:$K$47)/LOOKUP($A41,Barèmes!$A$65:$A$148,Barèmes!$C$65:$C$148),IF($A41=INT($D$8+$D$4),(LOOKUP($A41,Retraite!$A$7:$A$47,Retraite!$K$7:$K$47)/LOOKUP($A41,Barèmes!$A$65:$A$148,Barèmes!$C$65:$C$148))*(1-(INT($D$8)+1-$D$8)),0)))</f>
        <v>0</v>
      </c>
      <c r="E41" s="151">
        <f>IF($A41&lt;$D$5+$D$4,0,IF(AND($A41&gt;=$D$5,$A41&lt;=INT($D$8)-1+$D$4),LOOKUP($A41,Retraite!$A$7:$A$47,Retraite!$N$7:$N$47)/LOOKUP($A41,Barèmes!$A$65:$A$148,Barèmes!$C$65:$C$148),IF($A41=INT($D$8+$D$4),(LOOKUP($A41,Retraite!$A$7:$A$47,Retraite!$N$7:$N$47)/LOOKUP($A41,Barèmes!$A$65:$A$148,Barèmes!$C$65:$C$148))*(1-(INT($D$8)+1-$D$8)),0)))</f>
        <v>0</v>
      </c>
      <c r="F41" s="121">
        <f>IF($A41&lt;$D$5+$D$4,LOOKUP($A41,Cot_droits!$A$17:$A$68,Cot_droits!$Q$17:$Q$68)/LOOKUP($A41,Barèmes!$A$65:$A$148,Barèmes!$C$65:$C$148),0)</f>
        <v>12401.622457835592</v>
      </c>
      <c r="G41" s="115"/>
      <c r="H41" s="131">
        <f>IF($A41&lt;$D$5+$D$4,0,IF(AND($A41&gt;=$D$5,$A41&lt;=INT($D$8)-1+$D$4),LOOKUP($A41,Retraite!$A$7:$A$47,Retraite!$L$7:$L$47)/LOOKUP($A41,Barèmes!$A$65:$A$148,Barèmes!$C$65:$C$148),IF($A41=INT($D$8+$D$4),(LOOKUP($A41,Retraite!$A$7:$A$47,Retraite!$L$7:$L$47)/LOOKUP($A41,Barèmes!$A$65:$A$148,Barèmes!$C$65:$C$148))*(1-(INT($D$8)+1-$D$8)),0)))</f>
        <v>0</v>
      </c>
      <c r="I41" s="151">
        <f>IF($A41&lt;$D$5+$D$4,0,IF(AND($A41&gt;=$D$5,$A41&lt;=INT($D$8)-1+$D$4),LOOKUP($A41,Retraite!$A$7:$A$47,Retraite!$P$7:$P$47)/LOOKUP($A41,Barèmes!$A$65:$A$148,Barèmes!$C$65:$C$148),IF($A41=INT($D$8+$D$4),(LOOKUP($A41,Retraite!$A$7:$A$47,Retraite!$P$7:$P$47)/LOOKUP($A41,Barèmes!$A$65:$A$148,Barèmes!$C$65:$C$148))*(1-(INT($D$8)+1-$D$8)),0)))</f>
        <v>0</v>
      </c>
      <c r="J41" s="121">
        <f>IF($A41&lt;$D$5+$D$4,(LOOKUP($A41,Cot_droits!$A$17:$A$68,Cot_droits!$H$17:$H$68)+LOOKUP($A41,Cot_droits!$A$17:$A$68,Cot_droits!$L$17:$L$68))/LOOKUP($A41,Barèmes!$A$65:$A$148,Barèmes!$C$65:$C$148),0)</f>
        <v>7925.7146477490378</v>
      </c>
      <c r="L41" s="131">
        <f>IF($A41&lt;$D$5+$D$4,0,IF(AND($A41&gt;=$D$5,$A41&lt;=INT($D$8)-1+$D$4),LOOKUP($A41,Retraite!$A$7:$A$47,Retraite!$M$7:$M$47)/LOOKUP($A41,Barèmes!$A$65:$A$148,Barèmes!$C$65:$C$148),IF($A41=INT($D$8+$D$4),(LOOKUP($A41,Retraite!$A$7:$A$47,Retraite!$M$7:$M$47)/LOOKUP($A41,Barèmes!$A$65:$A$148,Barèmes!$C$65:$C$148))*(1-(INT($D$8)+1-$D$8)),0)))</f>
        <v>0</v>
      </c>
      <c r="M41" s="151">
        <f>IF($A41&lt;$D$5+$D$4,0,IF(AND($A41&gt;=$D$5,$A41&lt;=INT($D$8)-1+$D$4),LOOKUP($A41,Retraite!$A$7:$A$47,Retraite!$Q$7:$Q$47)/LOOKUP($A41,Barèmes!$A$65:$A$148,Barèmes!$C$65:$C$148),IF($A41=INT($D$8+$D$4),(LOOKUP($A41,Retraite!$A$7:$A$47,Retraite!$Q$7:$Q$47)/LOOKUP($A41,Barèmes!$A$65:$A$148,Barèmes!$C$65:$C$148))*(1-(INT($D$8)+1-$D$8)),0)))</f>
        <v>0</v>
      </c>
      <c r="N41" s="121">
        <f>IF($A41&lt;$D$5+$D$4,(LOOKUP($A41,Cot_droits!$A$17:$A$68,Cot_droits!$I$17:$I$68)+LOOKUP($A41,Cot_droits!$A$17:$A$68,Cot_droits!$J$17:$J$68)+LOOKUP($A41,Cot_droits!$A$17:$A$68,Cot_droits!$N$17:$N$68))/LOOKUP($A41,Barèmes!$A$65:$A$148,Barèmes!$C$65:$C$148),0)</f>
        <v>4475.9078100865554</v>
      </c>
      <c r="O41" s="115"/>
    </row>
    <row r="42" spans="1:15" s="43" customFormat="1" ht="15.75" customHeight="1" x14ac:dyDescent="0.25">
      <c r="A42" s="148">
        <f>TRI_prix!A36</f>
        <v>2041</v>
      </c>
      <c r="B42" s="121">
        <f>Cot_droits!C41/LOOKUP($A42,Barèmes!$A$65:$A$148,Barèmes!$C$65:$C$148)</f>
        <v>45590.912011167733</v>
      </c>
      <c r="C42" s="135"/>
      <c r="D42" s="131">
        <f>IF($A42&lt;$D$5+$D$4,0,IF(AND($A42&gt;=$D$5,$A42&lt;=INT($D$8)-1+$D$4),LOOKUP($A42,Retraite!$A$7:$A$47,Retraite!$K$7:$K$47)/LOOKUP($A42,Barèmes!$A$65:$A$148,Barèmes!$C$65:$C$148),IF($A42=INT($D$8+$D$4),(LOOKUP($A42,Retraite!$A$7:$A$47,Retraite!$K$7:$K$47)/LOOKUP($A42,Barèmes!$A$65:$A$148,Barèmes!$C$65:$C$148))*(1-(INT($D$8)+1-$D$8)),0)))</f>
        <v>0</v>
      </c>
      <c r="E42" s="151">
        <f>IF($A42&lt;$D$5+$D$4,0,IF(AND($A42&gt;=$D$5,$A42&lt;=INT($D$8)-1+$D$4),LOOKUP($A42,Retraite!$A$7:$A$47,Retraite!$N$7:$N$47)/LOOKUP($A42,Barèmes!$A$65:$A$148,Barèmes!$C$65:$C$148),IF($A42=INT($D$8+$D$4),(LOOKUP($A42,Retraite!$A$7:$A$47,Retraite!$N$7:$N$47)/LOOKUP($A42,Barèmes!$A$65:$A$148,Barèmes!$C$65:$C$148))*(1-(INT($D$8)+1-$D$8)),0)))</f>
        <v>0</v>
      </c>
      <c r="F42" s="121">
        <f>IF($A42&lt;$D$5+$D$4,LOOKUP($A42,Cot_droits!$A$17:$A$68,Cot_droits!$Q$17:$Q$68)/LOOKUP($A42,Barèmes!$A$65:$A$148,Barèmes!$C$65:$C$148),0)</f>
        <v>12662.419901981726</v>
      </c>
      <c r="G42" s="115"/>
      <c r="H42" s="131">
        <f>IF($A42&lt;$D$5+$D$4,0,IF(AND($A42&gt;=$D$5,$A42&lt;=INT($D$8)-1+$D$4),LOOKUP($A42,Retraite!$A$7:$A$47,Retraite!$L$7:$L$47)/LOOKUP($A42,Barèmes!$A$65:$A$148,Barèmes!$C$65:$C$148),IF($A42=INT($D$8+$D$4),(LOOKUP($A42,Retraite!$A$7:$A$47,Retraite!$L$7:$L$47)/LOOKUP($A42,Barèmes!$A$65:$A$148,Barèmes!$C$65:$C$148))*(1-(INT($D$8)+1-$D$8)),0)))</f>
        <v>0</v>
      </c>
      <c r="I42" s="151">
        <f>IF($A42&lt;$D$5+$D$4,0,IF(AND($A42&gt;=$D$5,$A42&lt;=INT($D$8)-1+$D$4),LOOKUP($A42,Retraite!$A$7:$A$47,Retraite!$P$7:$P$47)/LOOKUP($A42,Barèmes!$A$65:$A$148,Barèmes!$C$65:$C$148),IF($A42=INT($D$8+$D$4),(LOOKUP($A42,Retraite!$A$7:$A$47,Retraite!$P$7:$P$47)/LOOKUP($A42,Barèmes!$A$65:$A$148,Barèmes!$C$65:$C$148))*(1-(INT($D$8)+1-$D$8)),0)))</f>
        <v>0</v>
      </c>
      <c r="J42" s="121">
        <f>IF($A42&lt;$D$5+$D$4,(LOOKUP($A42,Cot_droits!$A$17:$A$68,Cot_droits!$H$17:$H$68)+LOOKUP($A42,Cot_droits!$A$17:$A$68,Cot_droits!$L$17:$L$68))/LOOKUP($A42,Barèmes!$A$65:$A$148,Barèmes!$C$65:$C$148),0)</f>
        <v>8092.3868819822728</v>
      </c>
      <c r="L42" s="131">
        <f>IF($A42&lt;$D$5+$D$4,0,IF(AND($A42&gt;=$D$5,$A42&lt;=INT($D$8)-1+$D$4),LOOKUP($A42,Retraite!$A$7:$A$47,Retraite!$M$7:$M$47)/LOOKUP($A42,Barèmes!$A$65:$A$148,Barèmes!$C$65:$C$148),IF($A42=INT($D$8+$D$4),(LOOKUP($A42,Retraite!$A$7:$A$47,Retraite!$M$7:$M$47)/LOOKUP($A42,Barèmes!$A$65:$A$148,Barèmes!$C$65:$C$148))*(1-(INT($D$8)+1-$D$8)),0)))</f>
        <v>0</v>
      </c>
      <c r="M42" s="151">
        <f>IF($A42&lt;$D$5+$D$4,0,IF(AND($A42&gt;=$D$5,$A42&lt;=INT($D$8)-1+$D$4),LOOKUP($A42,Retraite!$A$7:$A$47,Retraite!$Q$7:$Q$47)/LOOKUP($A42,Barèmes!$A$65:$A$148,Barèmes!$C$65:$C$148),IF($A42=INT($D$8+$D$4),(LOOKUP($A42,Retraite!$A$7:$A$47,Retraite!$Q$7:$Q$47)/LOOKUP($A42,Barèmes!$A$65:$A$148,Barèmes!$C$65:$C$148))*(1-(INT($D$8)+1-$D$8)),0)))</f>
        <v>0</v>
      </c>
      <c r="N42" s="121">
        <f>IF($A42&lt;$D$5+$D$4,(LOOKUP($A42,Cot_droits!$A$17:$A$68,Cot_droits!$I$17:$I$68)+LOOKUP($A42,Cot_droits!$A$17:$A$68,Cot_droits!$J$17:$J$68)+LOOKUP($A42,Cot_droits!$A$17:$A$68,Cot_droits!$N$17:$N$68))/LOOKUP($A42,Barèmes!$A$65:$A$148,Barèmes!$C$65:$C$148),0)</f>
        <v>4570.0330199994542</v>
      </c>
      <c r="O42" s="115"/>
    </row>
    <row r="43" spans="1:15" s="43" customFormat="1" ht="15.75" customHeight="1" x14ac:dyDescent="0.25">
      <c r="A43" s="148">
        <f>TRI_prix!A37</f>
        <v>2042</v>
      </c>
      <c r="B43" s="121">
        <f>Cot_droits!C42/LOOKUP($A43,Barèmes!$A$65:$A$148,Barèmes!$C$65:$C$148)</f>
        <v>46109.421033456783</v>
      </c>
      <c r="C43" s="135"/>
      <c r="D43" s="131">
        <f>IF($A43&lt;$D$5+$D$4,0,IF(AND($A43&gt;=$D$5,$A43&lt;=INT($D$8)-1+$D$4),LOOKUP($A43,Retraite!$A$7:$A$47,Retraite!$K$7:$K$47)/LOOKUP($A43,Barèmes!$A$65:$A$148,Barèmes!$C$65:$C$148),IF($A43=INT($D$8+$D$4),(LOOKUP($A43,Retraite!$A$7:$A$47,Retraite!$K$7:$K$47)/LOOKUP($A43,Barèmes!$A$65:$A$148,Barèmes!$C$65:$C$148))*(1-(INT($D$8)+1-$D$8)),0)))</f>
        <v>0</v>
      </c>
      <c r="E43" s="151">
        <f>IF($A43&lt;$D$5+$D$4,0,IF(AND($A43&gt;=$D$5,$A43&lt;=INT($D$8)-1+$D$4),LOOKUP($A43,Retraite!$A$7:$A$47,Retraite!$N$7:$N$47)/LOOKUP($A43,Barèmes!$A$65:$A$148,Barèmes!$C$65:$C$148),IF($A43=INT($D$8+$D$4),(LOOKUP($A43,Retraite!$A$7:$A$47,Retraite!$N$7:$N$47)/LOOKUP($A43,Barèmes!$A$65:$A$148,Barèmes!$C$65:$C$148))*(1-(INT($D$8)+1-$D$8)),0)))</f>
        <v>0</v>
      </c>
      <c r="F43" s="121">
        <f>IF($A43&lt;$D$5+$D$4,LOOKUP($A43,Cot_droits!$A$17:$A$68,Cot_droits!$Q$17:$Q$68)/LOOKUP($A43,Barèmes!$A$65:$A$148,Barèmes!$C$65:$C$148),0)</f>
        <v>12806.430597832286</v>
      </c>
      <c r="G43" s="115"/>
      <c r="H43" s="131">
        <f>IF($A43&lt;$D$5+$D$4,0,IF(AND($A43&gt;=$D$5,$A43&lt;=INT($D$8)-1+$D$4),LOOKUP($A43,Retraite!$A$7:$A$47,Retraite!$L$7:$L$47)/LOOKUP($A43,Barèmes!$A$65:$A$148,Barèmes!$C$65:$C$148),IF($A43=INT($D$8+$D$4),(LOOKUP($A43,Retraite!$A$7:$A$47,Retraite!$L$7:$L$47)/LOOKUP($A43,Barèmes!$A$65:$A$148,Barèmes!$C$65:$C$148))*(1-(INT($D$8)+1-$D$8)),0)))</f>
        <v>0</v>
      </c>
      <c r="I43" s="151">
        <f>IF($A43&lt;$D$5+$D$4,0,IF(AND($A43&gt;=$D$5,$A43&lt;=INT($D$8)-1+$D$4),LOOKUP($A43,Retraite!$A$7:$A$47,Retraite!$P$7:$P$47)/LOOKUP($A43,Barèmes!$A$65:$A$148,Barèmes!$C$65:$C$148),IF($A43=INT($D$8+$D$4),(LOOKUP($A43,Retraite!$A$7:$A$47,Retraite!$P$7:$P$47)/LOOKUP($A43,Barèmes!$A$65:$A$148,Barèmes!$C$65:$C$148))*(1-(INT($D$8)+1-$D$8)),0)))</f>
        <v>0</v>
      </c>
      <c r="J43" s="121">
        <f>IF($A43&lt;$D$5+$D$4,(LOOKUP($A43,Cot_droits!$A$17:$A$68,Cot_droits!$H$17:$H$68)+LOOKUP($A43,Cot_droits!$A$17:$A$68,Cot_droits!$L$17:$L$68))/LOOKUP($A43,Barèmes!$A$65:$A$148,Barèmes!$C$65:$C$148),0)</f>
        <v>8184.4222334385786</v>
      </c>
      <c r="L43" s="131">
        <f>IF($A43&lt;$D$5+$D$4,0,IF(AND($A43&gt;=$D$5,$A43&lt;=INT($D$8)-1+$D$4),LOOKUP($A43,Retraite!$A$7:$A$47,Retraite!$M$7:$M$47)/LOOKUP($A43,Barèmes!$A$65:$A$148,Barèmes!$C$65:$C$148),IF($A43=INT($D$8+$D$4),(LOOKUP($A43,Retraite!$A$7:$A$47,Retraite!$M$7:$M$47)/LOOKUP($A43,Barèmes!$A$65:$A$148,Barèmes!$C$65:$C$148))*(1-(INT($D$8)+1-$D$8)),0)))</f>
        <v>0</v>
      </c>
      <c r="M43" s="151">
        <f>IF($A43&lt;$D$5+$D$4,0,IF(AND($A43&gt;=$D$5,$A43&lt;=INT($D$8)-1+$D$4),LOOKUP($A43,Retraite!$A$7:$A$47,Retraite!$Q$7:$Q$47)/LOOKUP($A43,Barèmes!$A$65:$A$148,Barèmes!$C$65:$C$148),IF($A43=INT($D$8+$D$4),(LOOKUP($A43,Retraite!$A$7:$A$47,Retraite!$Q$7:$Q$47)/LOOKUP($A43,Barèmes!$A$65:$A$148,Barèmes!$C$65:$C$148))*(1-(INT($D$8)+1-$D$8)),0)))</f>
        <v>0</v>
      </c>
      <c r="N43" s="121">
        <f>IF($A43&lt;$D$5+$D$4,(LOOKUP($A43,Cot_droits!$A$17:$A$68,Cot_droits!$I$17:$I$68)+LOOKUP($A43,Cot_droits!$A$17:$A$68,Cot_droits!$J$17:$J$68)+LOOKUP($A43,Cot_droits!$A$17:$A$68,Cot_droits!$N$17:$N$68))/LOOKUP($A43,Barèmes!$A$65:$A$148,Barèmes!$C$65:$C$148),0)</f>
        <v>4622.0083643937087</v>
      </c>
      <c r="O43" s="115"/>
    </row>
    <row r="44" spans="1:15" s="43" customFormat="1" ht="15.75" customHeight="1" x14ac:dyDescent="0.25">
      <c r="A44" s="148">
        <f>TRI_prix!A38</f>
        <v>2043</v>
      </c>
      <c r="B44" s="121">
        <f>Cot_droits!C43/LOOKUP($A44,Barèmes!$A$65:$A$148,Barèmes!$C$65:$C$148)</f>
        <v>46878.313852340892</v>
      </c>
      <c r="C44" s="135"/>
      <c r="D44" s="131">
        <f>IF($A44&lt;$D$5+$D$4,0,IF(AND($A44&gt;=$D$5,$A44&lt;=INT($D$8)-1+$D$4),LOOKUP($A44,Retraite!$A$7:$A$47,Retraite!$K$7:$K$47)/LOOKUP($A44,Barèmes!$A$65:$A$148,Barèmes!$C$65:$C$148),IF($A44=INT($D$8+$D$4),(LOOKUP($A44,Retraite!$A$7:$A$47,Retraite!$K$7:$K$47)/LOOKUP($A44,Barèmes!$A$65:$A$148,Barèmes!$C$65:$C$148))*(1-(INT($D$8)+1-$D$8)),0)))</f>
        <v>0</v>
      </c>
      <c r="E44" s="151">
        <f>IF($A44&lt;$D$5+$D$4,0,IF(AND($A44&gt;=$D$5,$A44&lt;=INT($D$8)-1+$D$4),LOOKUP($A44,Retraite!$A$7:$A$47,Retraite!$N$7:$N$47)/LOOKUP($A44,Barèmes!$A$65:$A$148,Barèmes!$C$65:$C$148),IF($A44=INT($D$8+$D$4),(LOOKUP($A44,Retraite!$A$7:$A$47,Retraite!$N$7:$N$47)/LOOKUP($A44,Barèmes!$A$65:$A$148,Barèmes!$C$65:$C$148))*(1-(INT($D$8)+1-$D$8)),0)))</f>
        <v>0</v>
      </c>
      <c r="F44" s="121">
        <f>IF($A44&lt;$D$5+$D$4,LOOKUP($A44,Cot_droits!$A$17:$A$68,Cot_droits!$Q$17:$Q$68)/LOOKUP($A44,Barèmes!$A$65:$A$148,Barèmes!$C$65:$C$148),0)</f>
        <v>13019.982889349158</v>
      </c>
      <c r="G44" s="115"/>
      <c r="H44" s="131">
        <f>IF($A44&lt;$D$5+$D$4,0,IF(AND($A44&gt;=$D$5,$A44&lt;=INT($D$8)-1+$D$4),LOOKUP($A44,Retraite!$A$7:$A$47,Retraite!$L$7:$L$47)/LOOKUP($A44,Barèmes!$A$65:$A$148,Barèmes!$C$65:$C$148),IF($A44=INT($D$8+$D$4),(LOOKUP($A44,Retraite!$A$7:$A$47,Retraite!$L$7:$L$47)/LOOKUP($A44,Barèmes!$A$65:$A$148,Barèmes!$C$65:$C$148))*(1-(INT($D$8)+1-$D$8)),0)))</f>
        <v>0</v>
      </c>
      <c r="I44" s="151">
        <f>IF($A44&lt;$D$5+$D$4,0,IF(AND($A44&gt;=$D$5,$A44&lt;=INT($D$8)-1+$D$4),LOOKUP($A44,Retraite!$A$7:$A$47,Retraite!$P$7:$P$47)/LOOKUP($A44,Barèmes!$A$65:$A$148,Barèmes!$C$65:$C$148),IF($A44=INT($D$8+$D$4),(LOOKUP($A44,Retraite!$A$7:$A$47,Retraite!$P$7:$P$47)/LOOKUP($A44,Barèmes!$A$65:$A$148,Barèmes!$C$65:$C$148))*(1-(INT($D$8)+1-$D$8)),0)))</f>
        <v>0</v>
      </c>
      <c r="J44" s="121">
        <f>IF($A44&lt;$D$5+$D$4,(LOOKUP($A44,Cot_droits!$A$17:$A$68,Cot_droits!$H$17:$H$68)+LOOKUP($A44,Cot_droits!$A$17:$A$68,Cot_droits!$L$17:$L$68))/LOOKUP($A44,Barèmes!$A$65:$A$148,Barèmes!$C$65:$C$148),0)</f>
        <v>8320.9007087905084</v>
      </c>
      <c r="L44" s="131">
        <f>IF($A44&lt;$D$5+$D$4,0,IF(AND($A44&gt;=$D$5,$A44&lt;=INT($D$8)-1+$D$4),LOOKUP($A44,Retraite!$A$7:$A$47,Retraite!$M$7:$M$47)/LOOKUP($A44,Barèmes!$A$65:$A$148,Barèmes!$C$65:$C$148),IF($A44=INT($D$8+$D$4),(LOOKUP($A44,Retraite!$A$7:$A$47,Retraite!$M$7:$M$47)/LOOKUP($A44,Barèmes!$A$65:$A$148,Barèmes!$C$65:$C$148))*(1-(INT($D$8)+1-$D$8)),0)))</f>
        <v>0</v>
      </c>
      <c r="M44" s="151">
        <f>IF($A44&lt;$D$5+$D$4,0,IF(AND($A44&gt;=$D$5,$A44&lt;=INT($D$8)-1+$D$4),LOOKUP($A44,Retraite!$A$7:$A$47,Retraite!$Q$7:$Q$47)/LOOKUP($A44,Barèmes!$A$65:$A$148,Barèmes!$C$65:$C$148),IF($A44=INT($D$8+$D$4),(LOOKUP($A44,Retraite!$A$7:$A$47,Retraite!$Q$7:$Q$47)/LOOKUP($A44,Barèmes!$A$65:$A$148,Barèmes!$C$65:$C$148))*(1-(INT($D$8)+1-$D$8)),0)))</f>
        <v>0</v>
      </c>
      <c r="N44" s="121">
        <f>IF($A44&lt;$D$5+$D$4,(LOOKUP($A44,Cot_droits!$A$17:$A$68,Cot_droits!$I$17:$I$68)+LOOKUP($A44,Cot_droits!$A$17:$A$68,Cot_droits!$J$17:$J$68)+LOOKUP($A44,Cot_droits!$A$17:$A$68,Cot_droits!$N$17:$N$68))/LOOKUP($A44,Barèmes!$A$65:$A$148,Barèmes!$C$65:$C$148),0)</f>
        <v>4699.0821805586511</v>
      </c>
      <c r="O44" s="115"/>
    </row>
    <row r="45" spans="1:15" s="43" customFormat="1" ht="15.75" customHeight="1" x14ac:dyDescent="0.25">
      <c r="A45" s="148">
        <f>TRI_prix!A39</f>
        <v>2044</v>
      </c>
      <c r="B45" s="121">
        <f>Cot_droits!C44/LOOKUP($A45,Barèmes!$A$65:$A$148,Barèmes!$C$65:$C$148)</f>
        <v>47491.469745203933</v>
      </c>
      <c r="C45" s="135"/>
      <c r="D45" s="131">
        <f>IF($A45&lt;$D$5+$D$4,0,IF(AND($A45&gt;=$D$5,$A45&lt;=INT($D$8)-1+$D$4),LOOKUP($A45,Retraite!$A$7:$A$47,Retraite!$K$7:$K$47)/LOOKUP($A45,Barèmes!$A$65:$A$148,Barèmes!$C$65:$C$148),IF($A45=INT($D$8+$D$4),(LOOKUP($A45,Retraite!$A$7:$A$47,Retraite!$K$7:$K$47)/LOOKUP($A45,Barèmes!$A$65:$A$148,Barèmes!$C$65:$C$148))*(1-(INT($D$8)+1-$D$8)),0)))</f>
        <v>0</v>
      </c>
      <c r="E45" s="151">
        <f>IF($A45&lt;$D$5+$D$4,0,IF(AND($A45&gt;=$D$5,$A45&lt;=INT($D$8)-1+$D$4),LOOKUP($A45,Retraite!$A$7:$A$47,Retraite!$N$7:$N$47)/LOOKUP($A45,Barèmes!$A$65:$A$148,Barèmes!$C$65:$C$148),IF($A45=INT($D$8+$D$4),(LOOKUP($A45,Retraite!$A$7:$A$47,Retraite!$N$7:$N$47)/LOOKUP($A45,Barèmes!$A$65:$A$148,Barèmes!$C$65:$C$148))*(1-(INT($D$8)+1-$D$8)),0)))</f>
        <v>0</v>
      </c>
      <c r="F45" s="121">
        <f>IF($A45&lt;$D$5+$D$4,LOOKUP($A45,Cot_droits!$A$17:$A$68,Cot_droits!$Q$17:$Q$68)/LOOKUP($A45,Barèmes!$A$65:$A$148,Barèmes!$C$65:$C$148),0)</f>
        <v>13190.280807032941</v>
      </c>
      <c r="G45" s="115"/>
      <c r="H45" s="131">
        <f>IF($A45&lt;$D$5+$D$4,0,IF(AND($A45&gt;=$D$5,$A45&lt;=INT($D$8)-1+$D$4),LOOKUP($A45,Retraite!$A$7:$A$47,Retraite!$L$7:$L$47)/LOOKUP($A45,Barèmes!$A$65:$A$148,Barèmes!$C$65:$C$148),IF($A45=INT($D$8+$D$4),(LOOKUP($A45,Retraite!$A$7:$A$47,Retraite!$L$7:$L$47)/LOOKUP($A45,Barèmes!$A$65:$A$148,Barèmes!$C$65:$C$148))*(1-(INT($D$8)+1-$D$8)),0)))</f>
        <v>0</v>
      </c>
      <c r="I45" s="151">
        <f>IF($A45&lt;$D$5+$D$4,0,IF(AND($A45&gt;=$D$5,$A45&lt;=INT($D$8)-1+$D$4),LOOKUP($A45,Retraite!$A$7:$A$47,Retraite!$P$7:$P$47)/LOOKUP($A45,Barèmes!$A$65:$A$148,Barèmes!$C$65:$C$148),IF($A45=INT($D$8+$D$4),(LOOKUP($A45,Retraite!$A$7:$A$47,Retraite!$P$7:$P$47)/LOOKUP($A45,Barèmes!$A$65:$A$148,Barèmes!$C$65:$C$148))*(1-(INT($D$8)+1-$D$8)),0)))</f>
        <v>0</v>
      </c>
      <c r="J45" s="121">
        <f>IF($A45&lt;$D$5+$D$4,(LOOKUP($A45,Cot_droits!$A$17:$A$68,Cot_droits!$H$17:$H$68)+LOOKUP($A45,Cot_droits!$A$17:$A$68,Cot_droits!$L$17:$L$68))/LOOKUP($A45,Barèmes!$A$65:$A$148,Barèmes!$C$65:$C$148),0)</f>
        <v>8429.7358797736979</v>
      </c>
      <c r="L45" s="131">
        <f>IF($A45&lt;$D$5+$D$4,0,IF(AND($A45&gt;=$D$5,$A45&lt;=INT($D$8)-1+$D$4),LOOKUP($A45,Retraite!$A$7:$A$47,Retraite!$M$7:$M$47)/LOOKUP($A45,Barèmes!$A$65:$A$148,Barèmes!$C$65:$C$148),IF($A45=INT($D$8+$D$4),(LOOKUP($A45,Retraite!$A$7:$A$47,Retraite!$M$7:$M$47)/LOOKUP($A45,Barèmes!$A$65:$A$148,Barèmes!$C$65:$C$148))*(1-(INT($D$8)+1-$D$8)),0)))</f>
        <v>0</v>
      </c>
      <c r="M45" s="151">
        <f>IF($A45&lt;$D$5+$D$4,0,IF(AND($A45&gt;=$D$5,$A45&lt;=INT($D$8)-1+$D$4),LOOKUP($A45,Retraite!$A$7:$A$47,Retraite!$Q$7:$Q$47)/LOOKUP($A45,Barèmes!$A$65:$A$148,Barèmes!$C$65:$C$148),IF($A45=INT($D$8+$D$4),(LOOKUP($A45,Retraite!$A$7:$A$47,Retraite!$Q$7:$Q$47)/LOOKUP($A45,Barèmes!$A$65:$A$148,Barèmes!$C$65:$C$148))*(1-(INT($D$8)+1-$D$8)),0)))</f>
        <v>0</v>
      </c>
      <c r="N45" s="121">
        <f>IF($A45&lt;$D$5+$D$4,(LOOKUP($A45,Cot_droits!$A$17:$A$68,Cot_droits!$I$17:$I$68)+LOOKUP($A45,Cot_droits!$A$17:$A$68,Cot_droits!$J$17:$J$68)+LOOKUP($A45,Cot_droits!$A$17:$A$68,Cot_droits!$N$17:$N$68))/LOOKUP($A45,Barèmes!$A$65:$A$148,Barèmes!$C$65:$C$148),0)</f>
        <v>4760.5449272592423</v>
      </c>
      <c r="O45" s="115"/>
    </row>
    <row r="46" spans="1:15" s="43" customFormat="1" ht="15.75" customHeight="1" x14ac:dyDescent="0.25">
      <c r="A46" s="148">
        <f>TRI_prix!A40</f>
        <v>2045</v>
      </c>
      <c r="B46" s="121">
        <f>Cot_droits!C45/LOOKUP($A46,Barèmes!$A$65:$A$148,Barèmes!$C$65:$C$148)</f>
        <v>48237.653042250204</v>
      </c>
      <c r="C46" s="135"/>
      <c r="D46" s="131">
        <f>IF($A46&lt;$D$5+$D$4,0,IF(AND($A46&gt;=$D$5,$A46&lt;=INT($D$8)-1+$D$4),LOOKUP($A46,Retraite!$A$7:$A$47,Retraite!$K$7:$K$47)/LOOKUP($A46,Barèmes!$A$65:$A$148,Barèmes!$C$65:$C$148),IF($A46=INT($D$8+$D$4),(LOOKUP($A46,Retraite!$A$7:$A$47,Retraite!$K$7:$K$47)/LOOKUP($A46,Barèmes!$A$65:$A$148,Barèmes!$C$65:$C$148))*(1-(INT($D$8)+1-$D$8)),0)))</f>
        <v>0</v>
      </c>
      <c r="E46" s="151">
        <f>IF($A46&lt;$D$5+$D$4,0,IF(AND($A46&gt;=$D$5,$A46&lt;=INT($D$8)-1+$D$4),LOOKUP($A46,Retraite!$A$7:$A$47,Retraite!$N$7:$N$47)/LOOKUP($A46,Barèmes!$A$65:$A$148,Barèmes!$C$65:$C$148),IF($A46=INT($D$8+$D$4),(LOOKUP($A46,Retraite!$A$7:$A$47,Retraite!$N$7:$N$47)/LOOKUP($A46,Barèmes!$A$65:$A$148,Barèmes!$C$65:$C$148))*(1-(INT($D$8)+1-$D$8)),0)))</f>
        <v>0</v>
      </c>
      <c r="F46" s="121">
        <f>IF($A46&lt;$D$5+$D$4,LOOKUP($A46,Cot_droits!$A$17:$A$68,Cot_droits!$Q$17:$Q$68)/LOOKUP($A46,Barèmes!$A$65:$A$148,Barèmes!$C$65:$C$148),0)</f>
        <v>13397.525755954572</v>
      </c>
      <c r="G46" s="115"/>
      <c r="H46" s="131">
        <f>IF($A46&lt;$D$5+$D$4,0,IF(AND($A46&gt;=$D$5,$A46&lt;=INT($D$8)-1+$D$4),LOOKUP($A46,Retraite!$A$7:$A$47,Retraite!$L$7:$L$47)/LOOKUP($A46,Barèmes!$A$65:$A$148,Barèmes!$C$65:$C$148),IF($A46=INT($D$8+$D$4),(LOOKUP($A46,Retraite!$A$7:$A$47,Retraite!$L$7:$L$47)/LOOKUP($A46,Barèmes!$A$65:$A$148,Barèmes!$C$65:$C$148))*(1-(INT($D$8)+1-$D$8)),0)))</f>
        <v>0</v>
      </c>
      <c r="I46" s="151">
        <f>IF($A46&lt;$D$5+$D$4,0,IF(AND($A46&gt;=$D$5,$A46&lt;=INT($D$8)-1+$D$4),LOOKUP($A46,Retraite!$A$7:$A$47,Retraite!$P$7:$P$47)/LOOKUP($A46,Barèmes!$A$65:$A$148,Barèmes!$C$65:$C$148),IF($A46=INT($D$8+$D$4),(LOOKUP($A46,Retraite!$A$7:$A$47,Retraite!$P$7:$P$47)/LOOKUP($A46,Barèmes!$A$65:$A$148,Barèmes!$C$65:$C$148))*(1-(INT($D$8)+1-$D$8)),0)))</f>
        <v>0</v>
      </c>
      <c r="J46" s="121">
        <f>IF($A46&lt;$D$5+$D$4,(LOOKUP($A46,Cot_droits!$A$17:$A$68,Cot_droits!$H$17:$H$68)+LOOKUP($A46,Cot_droits!$A$17:$A$68,Cot_droits!$L$17:$L$68))/LOOKUP($A46,Barèmes!$A$65:$A$148,Barèmes!$C$65:$C$148),0)</f>
        <v>8562.183414999412</v>
      </c>
      <c r="L46" s="131">
        <f>IF($A46&lt;$D$5+$D$4,0,IF(AND($A46&gt;=$D$5,$A46&lt;=INT($D$8)-1+$D$4),LOOKUP($A46,Retraite!$A$7:$A$47,Retraite!$M$7:$M$47)/LOOKUP($A46,Barèmes!$A$65:$A$148,Barèmes!$C$65:$C$148),IF($A46=INT($D$8+$D$4),(LOOKUP($A46,Retraite!$A$7:$A$47,Retraite!$M$7:$M$47)/LOOKUP($A46,Barèmes!$A$65:$A$148,Barèmes!$C$65:$C$148))*(1-(INT($D$8)+1-$D$8)),0)))</f>
        <v>0</v>
      </c>
      <c r="M46" s="151">
        <f>IF($A46&lt;$D$5+$D$4,0,IF(AND($A46&gt;=$D$5,$A46&lt;=INT($D$8)-1+$D$4),LOOKUP($A46,Retraite!$A$7:$A$47,Retraite!$Q$7:$Q$47)/LOOKUP($A46,Barèmes!$A$65:$A$148,Barèmes!$C$65:$C$148),IF($A46=INT($D$8+$D$4),(LOOKUP($A46,Retraite!$A$7:$A$47,Retraite!$Q$7:$Q$47)/LOOKUP($A46,Barèmes!$A$65:$A$148,Barèmes!$C$65:$C$148))*(1-(INT($D$8)+1-$D$8)),0)))</f>
        <v>0</v>
      </c>
      <c r="N46" s="121">
        <f>IF($A46&lt;$D$5+$D$4,(LOOKUP($A46,Cot_droits!$A$17:$A$68,Cot_droits!$I$17:$I$68)+LOOKUP($A46,Cot_droits!$A$17:$A$68,Cot_droits!$J$17:$J$68)+LOOKUP($A46,Cot_droits!$A$17:$A$68,Cot_droits!$N$17:$N$68))/LOOKUP($A46,Barèmes!$A$65:$A$148,Barèmes!$C$65:$C$148),0)</f>
        <v>4835.3423409551606</v>
      </c>
      <c r="O46" s="115"/>
    </row>
    <row r="47" spans="1:15" s="43" customFormat="1" ht="15.75" customHeight="1" x14ac:dyDescent="0.25">
      <c r="A47" s="148">
        <f>TRI_prix!A41</f>
        <v>2046</v>
      </c>
      <c r="B47" s="121">
        <f>Cot_droits!C46/LOOKUP($A47,Barèmes!$A$65:$A$148,Barèmes!$C$65:$C$148)</f>
        <v>49040.118412339521</v>
      </c>
      <c r="C47" s="135"/>
      <c r="D47" s="131">
        <f>IF($A47&lt;$D$5+$D$4,0,IF(AND($A47&gt;=$D$5,$A47&lt;=INT($D$8)-1+$D$4),LOOKUP($A47,Retraite!$A$7:$A$47,Retraite!$K$7:$K$47)/LOOKUP($A47,Barèmes!$A$65:$A$148,Barèmes!$C$65:$C$148),IF($A47=INT($D$8+$D$4),(LOOKUP($A47,Retraite!$A$7:$A$47,Retraite!$K$7:$K$47)/LOOKUP($A47,Barèmes!$A$65:$A$148,Barèmes!$C$65:$C$148))*(1-(INT($D$8)+1-$D$8)),0)))</f>
        <v>0</v>
      </c>
      <c r="E47" s="151">
        <f>IF($A47&lt;$D$5+$D$4,0,IF(AND($A47&gt;=$D$5,$A47&lt;=INT($D$8)-1+$D$4),LOOKUP($A47,Retraite!$A$7:$A$47,Retraite!$N$7:$N$47)/LOOKUP($A47,Barèmes!$A$65:$A$148,Barèmes!$C$65:$C$148),IF($A47=INT($D$8+$D$4),(LOOKUP($A47,Retraite!$A$7:$A$47,Retraite!$N$7:$N$47)/LOOKUP($A47,Barèmes!$A$65:$A$148,Barèmes!$C$65:$C$148))*(1-(INT($D$8)+1-$D$8)),0)))</f>
        <v>0</v>
      </c>
      <c r="F47" s="121">
        <f>IF($A47&lt;$D$5+$D$4,LOOKUP($A47,Cot_droits!$A$17:$A$68,Cot_droits!$Q$17:$Q$68)/LOOKUP($A47,Barèmes!$A$65:$A$148,Barèmes!$C$65:$C$148),0)</f>
        <v>13620.402487843179</v>
      </c>
      <c r="G47" s="115"/>
      <c r="H47" s="131">
        <f>IF($A47&lt;$D$5+$D$4,0,IF(AND($A47&gt;=$D$5,$A47&lt;=INT($D$8)-1+$D$4),LOOKUP($A47,Retraite!$A$7:$A$47,Retraite!$L$7:$L$47)/LOOKUP($A47,Barèmes!$A$65:$A$148,Barèmes!$C$65:$C$148),IF($A47=INT($D$8+$D$4),(LOOKUP($A47,Retraite!$A$7:$A$47,Retraite!$L$7:$L$47)/LOOKUP($A47,Barèmes!$A$65:$A$148,Barèmes!$C$65:$C$148))*(1-(INT($D$8)+1-$D$8)),0)))</f>
        <v>0</v>
      </c>
      <c r="I47" s="151">
        <f>IF($A47&lt;$D$5+$D$4,0,IF(AND($A47&gt;=$D$5,$A47&lt;=INT($D$8)-1+$D$4),LOOKUP($A47,Retraite!$A$7:$A$47,Retraite!$P$7:$P$47)/LOOKUP($A47,Barèmes!$A$65:$A$148,Barèmes!$C$65:$C$148),IF($A47=INT($D$8+$D$4),(LOOKUP($A47,Retraite!$A$7:$A$47,Retraite!$P$7:$P$47)/LOOKUP($A47,Barèmes!$A$65:$A$148,Barèmes!$C$65:$C$148))*(1-(INT($D$8)+1-$D$8)),0)))</f>
        <v>0</v>
      </c>
      <c r="J47" s="121">
        <f>IF($A47&lt;$D$5+$D$4,(LOOKUP($A47,Cot_droits!$A$17:$A$68,Cot_droits!$H$17:$H$68)+LOOKUP($A47,Cot_droits!$A$17:$A$68,Cot_droits!$L$17:$L$68))/LOOKUP($A47,Barèmes!$A$65:$A$148,Barèmes!$C$65:$C$148),0)</f>
        <v>8704.6210181902643</v>
      </c>
      <c r="L47" s="131">
        <f>IF($A47&lt;$D$5+$D$4,0,IF(AND($A47&gt;=$D$5,$A47&lt;=INT($D$8)-1+$D$4),LOOKUP($A47,Retraite!$A$7:$A$47,Retraite!$M$7:$M$47)/LOOKUP($A47,Barèmes!$A$65:$A$148,Barèmes!$C$65:$C$148),IF($A47=INT($D$8+$D$4),(LOOKUP($A47,Retraite!$A$7:$A$47,Retraite!$M$7:$M$47)/LOOKUP($A47,Barèmes!$A$65:$A$148,Barèmes!$C$65:$C$148))*(1-(INT($D$8)+1-$D$8)),0)))</f>
        <v>0</v>
      </c>
      <c r="M47" s="151">
        <f>IF($A47&lt;$D$5+$D$4,0,IF(AND($A47&gt;=$D$5,$A47&lt;=INT($D$8)-1+$D$4),LOOKUP($A47,Retraite!$A$7:$A$47,Retraite!$Q$7:$Q$47)/LOOKUP($A47,Barèmes!$A$65:$A$148,Barèmes!$C$65:$C$148),IF($A47=INT($D$8+$D$4),(LOOKUP($A47,Retraite!$A$7:$A$47,Retraite!$Q$7:$Q$47)/LOOKUP($A47,Barèmes!$A$65:$A$148,Barèmes!$C$65:$C$148))*(1-(INT($D$8)+1-$D$8)),0)))</f>
        <v>0</v>
      </c>
      <c r="N47" s="121">
        <f>IF($A47&lt;$D$5+$D$4,(LOOKUP($A47,Cot_droits!$A$17:$A$68,Cot_droits!$I$17:$I$68)+LOOKUP($A47,Cot_droits!$A$17:$A$68,Cot_droits!$J$17:$J$68)+LOOKUP($A47,Cot_droits!$A$17:$A$68,Cot_droits!$N$17:$N$68))/LOOKUP($A47,Barèmes!$A$65:$A$148,Barèmes!$C$65:$C$148),0)</f>
        <v>4915.7814696529131</v>
      </c>
      <c r="O47" s="115"/>
    </row>
    <row r="48" spans="1:15" s="43" customFormat="1" ht="15.75" customHeight="1" x14ac:dyDescent="0.25">
      <c r="A48" s="148">
        <f>TRI_prix!A42</f>
        <v>2047</v>
      </c>
      <c r="B48" s="121">
        <f>Cot_droits!C47/LOOKUP($A48,Barèmes!$A$65:$A$148,Barèmes!$C$65:$C$148)</f>
        <v>49914.525035340688</v>
      </c>
      <c r="C48" s="135"/>
      <c r="D48" s="131">
        <f>IF($A48&lt;$D$5+$D$4,0,IF(AND($A48&gt;=$D$5,$A48&lt;=INT($D$8)-1+$D$4),LOOKUP($A48,Retraite!$A$7:$A$47,Retraite!$K$7:$K$47)/LOOKUP($A48,Barèmes!$A$65:$A$148,Barèmes!$C$65:$C$148),IF($A48=INT($D$8+$D$4),(LOOKUP($A48,Retraite!$A$7:$A$47,Retraite!$K$7:$K$47)/LOOKUP($A48,Barèmes!$A$65:$A$148,Barèmes!$C$65:$C$148))*(1-(INT($D$8)+1-$D$8)),0)))</f>
        <v>0</v>
      </c>
      <c r="E48" s="151">
        <f>IF($A48&lt;$D$5+$D$4,0,IF(AND($A48&gt;=$D$5,$A48&lt;=INT($D$8)-1+$D$4),LOOKUP($A48,Retraite!$A$7:$A$47,Retraite!$N$7:$N$47)/LOOKUP($A48,Barèmes!$A$65:$A$148,Barèmes!$C$65:$C$148),IF($A48=INT($D$8+$D$4),(LOOKUP($A48,Retraite!$A$7:$A$47,Retraite!$N$7:$N$47)/LOOKUP($A48,Barèmes!$A$65:$A$148,Barèmes!$C$65:$C$148))*(1-(INT($D$8)+1-$D$8)),0)))</f>
        <v>0</v>
      </c>
      <c r="F48" s="121">
        <f>IF($A48&lt;$D$5+$D$4,LOOKUP($A48,Cot_droits!$A$17:$A$68,Cot_droits!$Q$17:$Q$68)/LOOKUP($A48,Barèmes!$A$65:$A$148,Barèmes!$C$65:$C$148),0)</f>
        <v>13863.260183315524</v>
      </c>
      <c r="G48" s="115"/>
      <c r="H48" s="131">
        <f>IF($A48&lt;$D$5+$D$4,0,IF(AND($A48&gt;=$D$5,$A48&lt;=INT($D$8)-1+$D$4),LOOKUP($A48,Retraite!$A$7:$A$47,Retraite!$L$7:$L$47)/LOOKUP($A48,Barèmes!$A$65:$A$148,Barèmes!$C$65:$C$148),IF($A48=INT($D$8+$D$4),(LOOKUP($A48,Retraite!$A$7:$A$47,Retraite!$L$7:$L$47)/LOOKUP($A48,Barèmes!$A$65:$A$148,Barèmes!$C$65:$C$148))*(1-(INT($D$8)+1-$D$8)),0)))</f>
        <v>0</v>
      </c>
      <c r="I48" s="151">
        <f>IF($A48&lt;$D$5+$D$4,0,IF(AND($A48&gt;=$D$5,$A48&lt;=INT($D$8)-1+$D$4),LOOKUP($A48,Retraite!$A$7:$A$47,Retraite!$P$7:$P$47)/LOOKUP($A48,Barèmes!$A$65:$A$148,Barèmes!$C$65:$C$148),IF($A48=INT($D$8+$D$4),(LOOKUP($A48,Retraite!$A$7:$A$47,Retraite!$P$7:$P$47)/LOOKUP($A48,Barèmes!$A$65:$A$148,Barèmes!$C$65:$C$148))*(1-(INT($D$8)+1-$D$8)),0)))</f>
        <v>0</v>
      </c>
      <c r="J48" s="121">
        <f>IF($A48&lt;$D$5+$D$4,(LOOKUP($A48,Cot_droits!$A$17:$A$68,Cot_droits!$H$17:$H$68)+LOOKUP($A48,Cot_droits!$A$17:$A$68,Cot_droits!$L$17:$L$68))/LOOKUP($A48,Barèmes!$A$65:$A$148,Barèmes!$C$65:$C$148),0)</f>
        <v>8859.8281937729716</v>
      </c>
      <c r="L48" s="131">
        <f>IF($A48&lt;$D$5+$D$4,0,IF(AND($A48&gt;=$D$5,$A48&lt;=INT($D$8)-1+$D$4),LOOKUP($A48,Retraite!$A$7:$A$47,Retraite!$M$7:$M$47)/LOOKUP($A48,Barèmes!$A$65:$A$148,Barèmes!$C$65:$C$148),IF($A48=INT($D$8+$D$4),(LOOKUP($A48,Retraite!$A$7:$A$47,Retraite!$M$7:$M$47)/LOOKUP($A48,Barèmes!$A$65:$A$148,Barèmes!$C$65:$C$148))*(1-(INT($D$8)+1-$D$8)),0)))</f>
        <v>0</v>
      </c>
      <c r="M48" s="151">
        <f>IF($A48&lt;$D$5+$D$4,0,IF(AND($A48&gt;=$D$5,$A48&lt;=INT($D$8)-1+$D$4),LOOKUP($A48,Retraite!$A$7:$A$47,Retraite!$Q$7:$Q$47)/LOOKUP($A48,Barèmes!$A$65:$A$148,Barèmes!$C$65:$C$148),IF($A48=INT($D$8+$D$4),(LOOKUP($A48,Retraite!$A$7:$A$47,Retraite!$Q$7:$Q$47)/LOOKUP($A48,Barèmes!$A$65:$A$148,Barèmes!$C$65:$C$148))*(1-(INT($D$8)+1-$D$8)),0)))</f>
        <v>0</v>
      </c>
      <c r="N48" s="121">
        <f>IF($A48&lt;$D$5+$D$4,(LOOKUP($A48,Cot_droits!$A$17:$A$68,Cot_droits!$I$17:$I$68)+LOOKUP($A48,Cot_droits!$A$17:$A$68,Cot_droits!$J$17:$J$68)+LOOKUP($A48,Cot_droits!$A$17:$A$68,Cot_droits!$N$17:$N$68))/LOOKUP($A48,Barèmes!$A$65:$A$148,Barèmes!$C$65:$C$148),0)</f>
        <v>5003.4319895425515</v>
      </c>
      <c r="O48" s="115"/>
    </row>
    <row r="49" spans="1:15" s="43" customFormat="1" ht="15.75" customHeight="1" x14ac:dyDescent="0.25">
      <c r="A49" s="148">
        <f>TRI_prix!A43</f>
        <v>2048</v>
      </c>
      <c r="B49" s="121">
        <f>Cot_droits!C48/LOOKUP($A49,Barèmes!$A$65:$A$148,Barèmes!$C$65:$C$148)</f>
        <v>51429.44628118047</v>
      </c>
      <c r="C49" s="135"/>
      <c r="D49" s="131">
        <f>IF($A49&lt;$D$5+$D$4,0,IF(AND($A49&gt;=$D$5,$A49&lt;=INT($D$8)-1+$D$4),LOOKUP($A49,Retraite!$A$7:$A$47,Retraite!$K$7:$K$47)/LOOKUP($A49,Barèmes!$A$65:$A$148,Barèmes!$C$65:$C$148),IF($A49=INT($D$8+$D$4),(LOOKUP($A49,Retraite!$A$7:$A$47,Retraite!$K$7:$K$47)/LOOKUP($A49,Barèmes!$A$65:$A$148,Barèmes!$C$65:$C$148))*(1-(INT($D$8)+1-$D$8)),0)))</f>
        <v>0</v>
      </c>
      <c r="E49" s="151">
        <f>IF($A49&lt;$D$5+$D$4,0,IF(AND($A49&gt;=$D$5,$A49&lt;=INT($D$8)-1+$D$4),LOOKUP($A49,Retraite!$A$7:$A$47,Retraite!$N$7:$N$47)/LOOKUP($A49,Barèmes!$A$65:$A$148,Barèmes!$C$65:$C$148),IF($A49=INT($D$8+$D$4),(LOOKUP($A49,Retraite!$A$7:$A$47,Retraite!$N$7:$N$47)/LOOKUP($A49,Barèmes!$A$65:$A$148,Barèmes!$C$65:$C$148))*(1-(INT($D$8)+1-$D$8)),0)))</f>
        <v>0</v>
      </c>
      <c r="F49" s="121">
        <f>IF($A49&lt;$D$5+$D$4,LOOKUP($A49,Cot_droits!$A$17:$A$68,Cot_droits!$Q$17:$Q$68)/LOOKUP($A49,Barèmes!$A$65:$A$148,Barèmes!$C$65:$C$148),0)</f>
        <v>14284.014410135065</v>
      </c>
      <c r="G49" s="115"/>
      <c r="H49" s="131">
        <f>IF($A49&lt;$D$5+$D$4,0,IF(AND($A49&gt;=$D$5,$A49&lt;=INT($D$8)-1+$D$4),LOOKUP($A49,Retraite!$A$7:$A$47,Retraite!$L$7:$L$47)/LOOKUP($A49,Barèmes!$A$65:$A$148,Barèmes!$C$65:$C$148),IF($A49=INT($D$8+$D$4),(LOOKUP($A49,Retraite!$A$7:$A$47,Retraite!$L$7:$L$47)/LOOKUP($A49,Barèmes!$A$65:$A$148,Barèmes!$C$65:$C$148))*(1-(INT($D$8)+1-$D$8)),0)))</f>
        <v>0</v>
      </c>
      <c r="I49" s="151">
        <f>IF($A49&lt;$D$5+$D$4,0,IF(AND($A49&gt;=$D$5,$A49&lt;=INT($D$8)-1+$D$4),LOOKUP($A49,Retraite!$A$7:$A$47,Retraite!$P$7:$P$47)/LOOKUP($A49,Barèmes!$A$65:$A$148,Barèmes!$C$65:$C$148),IF($A49=INT($D$8+$D$4),(LOOKUP($A49,Retraite!$A$7:$A$47,Retraite!$P$7:$P$47)/LOOKUP($A49,Barèmes!$A$65:$A$148,Barèmes!$C$65:$C$148))*(1-(INT($D$8)+1-$D$8)),0)))</f>
        <v>0</v>
      </c>
      <c r="J49" s="121">
        <f>IF($A49&lt;$D$5+$D$4,(LOOKUP($A49,Cot_droits!$A$17:$A$68,Cot_droits!$H$17:$H$68)+LOOKUP($A49,Cot_droits!$A$17:$A$68,Cot_droits!$L$17:$L$68))/LOOKUP($A49,Barèmes!$A$65:$A$148,Barèmes!$C$65:$C$148),0)</f>
        <v>9128.7267149095333</v>
      </c>
      <c r="L49" s="131">
        <f>IF($A49&lt;$D$5+$D$4,0,IF(AND($A49&gt;=$D$5,$A49&lt;=INT($D$8)-1+$D$4),LOOKUP($A49,Retraite!$A$7:$A$47,Retraite!$M$7:$M$47)/LOOKUP($A49,Barèmes!$A$65:$A$148,Barèmes!$C$65:$C$148),IF($A49=INT($D$8+$D$4),(LOOKUP($A49,Retraite!$A$7:$A$47,Retraite!$M$7:$M$47)/LOOKUP($A49,Barèmes!$A$65:$A$148,Barèmes!$C$65:$C$148))*(1-(INT($D$8)+1-$D$8)),0)))</f>
        <v>0</v>
      </c>
      <c r="M49" s="151">
        <f>IF($A49&lt;$D$5+$D$4,0,IF(AND($A49&gt;=$D$5,$A49&lt;=INT($D$8)-1+$D$4),LOOKUP($A49,Retraite!$A$7:$A$47,Retraite!$Q$7:$Q$47)/LOOKUP($A49,Barèmes!$A$65:$A$148,Barèmes!$C$65:$C$148),IF($A49=INT($D$8+$D$4),(LOOKUP($A49,Retraite!$A$7:$A$47,Retraite!$Q$7:$Q$47)/LOOKUP($A49,Barèmes!$A$65:$A$148,Barèmes!$C$65:$C$148))*(1-(INT($D$8)+1-$D$8)),0)))</f>
        <v>0</v>
      </c>
      <c r="N49" s="121">
        <f>IF($A49&lt;$D$5+$D$4,(LOOKUP($A49,Cot_droits!$A$17:$A$68,Cot_droits!$I$17:$I$68)+LOOKUP($A49,Cot_droits!$A$17:$A$68,Cot_droits!$J$17:$J$68)+LOOKUP($A49,Cot_droits!$A$17:$A$68,Cot_droits!$N$17:$N$68))/LOOKUP($A49,Barèmes!$A$65:$A$148,Barèmes!$C$65:$C$148),0)</f>
        <v>5155.287695225531</v>
      </c>
      <c r="O49" s="115"/>
    </row>
    <row r="50" spans="1:15" s="43" customFormat="1" ht="15.75" customHeight="1" x14ac:dyDescent="0.25">
      <c r="A50" s="148">
        <f>TRI_prix!A44</f>
        <v>2049</v>
      </c>
      <c r="B50" s="121">
        <f>Cot_droits!C49/LOOKUP($A50,Barèmes!$A$65:$A$148,Barèmes!$C$65:$C$148)</f>
        <v>51909.593110457921</v>
      </c>
      <c r="C50" s="135"/>
      <c r="D50" s="131">
        <f>IF($A50&lt;$D$5+$D$4,0,IF(AND($A50&gt;=$D$5,$A50&lt;=INT($D$8)-1+$D$4),LOOKUP($A50,Retraite!$A$7:$A$47,Retraite!$K$7:$K$47)/LOOKUP($A50,Barèmes!$A$65:$A$148,Barèmes!$C$65:$C$148),IF($A50=INT($D$8+$D$4),(LOOKUP($A50,Retraite!$A$7:$A$47,Retraite!$K$7:$K$47)/LOOKUP($A50,Barèmes!$A$65:$A$148,Barèmes!$C$65:$C$148))*(1-(INT($D$8)+1-$D$8)),0)))</f>
        <v>0</v>
      </c>
      <c r="E50" s="151">
        <f>IF($A50&lt;$D$5+$D$4,0,IF(AND($A50&gt;=$D$5,$A50&lt;=INT($D$8)-1+$D$4),LOOKUP($A50,Retraite!$A$7:$A$47,Retraite!$N$7:$N$47)/LOOKUP($A50,Barèmes!$A$65:$A$148,Barèmes!$C$65:$C$148),IF($A50=INT($D$8+$D$4),(LOOKUP($A50,Retraite!$A$7:$A$47,Retraite!$N$7:$N$47)/LOOKUP($A50,Barèmes!$A$65:$A$148,Barèmes!$C$65:$C$148))*(1-(INT($D$8)+1-$D$8)),0)))</f>
        <v>0</v>
      </c>
      <c r="F50" s="121">
        <f>IF($A50&lt;$D$5+$D$4,LOOKUP($A50,Cot_droits!$A$17:$A$68,Cot_droits!$Q$17:$Q$68)/LOOKUP($A50,Barèmes!$A$65:$A$148,Barèmes!$C$65:$C$148),0)</f>
        <v>14417.370390498583</v>
      </c>
      <c r="G50" s="115"/>
      <c r="H50" s="131">
        <f>IF($A50&lt;$D$5+$D$4,0,IF(AND($A50&gt;=$D$5,$A50&lt;=INT($D$8)-1+$D$4),LOOKUP($A50,Retraite!$A$7:$A$47,Retraite!$L$7:$L$47)/LOOKUP($A50,Barèmes!$A$65:$A$148,Barèmes!$C$65:$C$148),IF($A50=INT($D$8+$D$4),(LOOKUP($A50,Retraite!$A$7:$A$47,Retraite!$L$7:$L$47)/LOOKUP($A50,Barèmes!$A$65:$A$148,Barèmes!$C$65:$C$148))*(1-(INT($D$8)+1-$D$8)),0)))</f>
        <v>0</v>
      </c>
      <c r="I50" s="151">
        <f>IF($A50&lt;$D$5+$D$4,0,IF(AND($A50&gt;=$D$5,$A50&lt;=INT($D$8)-1+$D$4),LOOKUP($A50,Retraite!$A$7:$A$47,Retraite!$P$7:$P$47)/LOOKUP($A50,Barèmes!$A$65:$A$148,Barèmes!$C$65:$C$148),IF($A50=INT($D$8+$D$4),(LOOKUP($A50,Retraite!$A$7:$A$47,Retraite!$P$7:$P$47)/LOOKUP($A50,Barèmes!$A$65:$A$148,Barèmes!$C$65:$C$148))*(1-(INT($D$8)+1-$D$8)),0)))</f>
        <v>0</v>
      </c>
      <c r="J50" s="121">
        <f>IF($A50&lt;$D$5+$D$4,(LOOKUP($A50,Cot_droits!$A$17:$A$68,Cot_droits!$H$17:$H$68)+LOOKUP($A50,Cot_droits!$A$17:$A$68,Cot_droits!$L$17:$L$68))/LOOKUP($A50,Barèmes!$A$65:$A$148,Barèmes!$C$65:$C$148),0)</f>
        <v>9213.9527771062803</v>
      </c>
      <c r="L50" s="131">
        <f>IF($A50&lt;$D$5+$D$4,0,IF(AND($A50&gt;=$D$5,$A50&lt;=INT($D$8)-1+$D$4),LOOKUP($A50,Retraite!$A$7:$A$47,Retraite!$M$7:$M$47)/LOOKUP($A50,Barèmes!$A$65:$A$148,Barèmes!$C$65:$C$148),IF($A50=INT($D$8+$D$4),(LOOKUP($A50,Retraite!$A$7:$A$47,Retraite!$M$7:$M$47)/LOOKUP($A50,Barèmes!$A$65:$A$148,Barèmes!$C$65:$C$148))*(1-(INT($D$8)+1-$D$8)),0)))</f>
        <v>0</v>
      </c>
      <c r="M50" s="151">
        <f>IF($A50&lt;$D$5+$D$4,0,IF(AND($A50&gt;=$D$5,$A50&lt;=INT($D$8)-1+$D$4),LOOKUP($A50,Retraite!$A$7:$A$47,Retraite!$Q$7:$Q$47)/LOOKUP($A50,Barèmes!$A$65:$A$148,Barèmes!$C$65:$C$148),IF($A50=INT($D$8+$D$4),(LOOKUP($A50,Retraite!$A$7:$A$47,Retraite!$Q$7:$Q$47)/LOOKUP($A50,Barèmes!$A$65:$A$148,Barèmes!$C$65:$C$148))*(1-(INT($D$8)+1-$D$8)),0)))</f>
        <v>0</v>
      </c>
      <c r="N50" s="121">
        <f>IF($A50&lt;$D$5+$D$4,(LOOKUP($A50,Cot_droits!$A$17:$A$68,Cot_droits!$I$17:$I$68)+LOOKUP($A50,Cot_droits!$A$17:$A$68,Cot_droits!$J$17:$J$68)+LOOKUP($A50,Cot_droits!$A$17:$A$68,Cot_droits!$N$17:$N$68))/LOOKUP($A50,Barèmes!$A$65:$A$148,Barèmes!$C$65:$C$148),0)</f>
        <v>5203.4176133923029</v>
      </c>
      <c r="O50" s="115"/>
    </row>
    <row r="51" spans="1:15" s="43" customFormat="1" ht="15.75" customHeight="1" x14ac:dyDescent="0.25">
      <c r="A51" s="148">
        <f>TRI_prix!A45</f>
        <v>2050</v>
      </c>
      <c r="B51" s="121">
        <f>Cot_droits!C50/LOOKUP($A51,Barèmes!$A$65:$A$148,Barèmes!$C$65:$C$148)</f>
        <v>52440.424380909557</v>
      </c>
      <c r="C51" s="135"/>
      <c r="D51" s="131">
        <f>IF($A51&lt;$D$5+$D$4,0,IF(AND($A51&gt;=$D$5,$A51&lt;=INT($D$8)-1+$D$4),LOOKUP($A51,Retraite!$A$7:$A$47,Retraite!$K$7:$K$47)/LOOKUP($A51,Barèmes!$A$65:$A$148,Barèmes!$C$65:$C$148),IF($A51=INT($D$8+$D$4),(LOOKUP($A51,Retraite!$A$7:$A$47,Retraite!$K$7:$K$47)/LOOKUP($A51,Barèmes!$A$65:$A$148,Barèmes!$C$65:$C$148))*(1-(INT($D$8)+1-$D$8)),0)))</f>
        <v>0</v>
      </c>
      <c r="E51" s="151">
        <f>IF($A51&lt;$D$5+$D$4,0,IF(AND($A51&gt;=$D$5,$A51&lt;=INT($D$8)-1+$D$4),LOOKUP($A51,Retraite!$A$7:$A$47,Retraite!$N$7:$N$47)/LOOKUP($A51,Barèmes!$A$65:$A$148,Barèmes!$C$65:$C$148),IF($A51=INT($D$8+$D$4),(LOOKUP($A51,Retraite!$A$7:$A$47,Retraite!$N$7:$N$47)/LOOKUP($A51,Barèmes!$A$65:$A$148,Barèmes!$C$65:$C$148))*(1-(INT($D$8)+1-$D$8)),0)))</f>
        <v>0</v>
      </c>
      <c r="F51" s="121">
        <f>IF($A51&lt;$D$5+$D$4,LOOKUP($A51,Cot_droits!$A$17:$A$68,Cot_droits!$Q$17:$Q$68)/LOOKUP($A51,Barèmes!$A$65:$A$148,Barèmes!$C$65:$C$148),0)</f>
        <v>14564.80346755382</v>
      </c>
      <c r="G51" s="115"/>
      <c r="H51" s="131">
        <f>IF($A51&lt;$D$5+$D$4,0,IF(AND($A51&gt;=$D$5,$A51&lt;=INT($D$8)-1+$D$4),LOOKUP($A51,Retraite!$A$7:$A$47,Retraite!$L$7:$L$47)/LOOKUP($A51,Barèmes!$A$65:$A$148,Barèmes!$C$65:$C$148),IF($A51=INT($D$8+$D$4),(LOOKUP($A51,Retraite!$A$7:$A$47,Retraite!$L$7:$L$47)/LOOKUP($A51,Barèmes!$A$65:$A$148,Barèmes!$C$65:$C$148))*(1-(INT($D$8)+1-$D$8)),0)))</f>
        <v>0</v>
      </c>
      <c r="I51" s="151">
        <f>IF($A51&lt;$D$5+$D$4,0,IF(AND($A51&gt;=$D$5,$A51&lt;=INT($D$8)-1+$D$4),LOOKUP($A51,Retraite!$A$7:$A$47,Retraite!$P$7:$P$47)/LOOKUP($A51,Barèmes!$A$65:$A$148,Barèmes!$C$65:$C$148),IF($A51=INT($D$8+$D$4),(LOOKUP($A51,Retraite!$A$7:$A$47,Retraite!$P$7:$P$47)/LOOKUP($A51,Barèmes!$A$65:$A$148,Barèmes!$C$65:$C$148))*(1-(INT($D$8)+1-$D$8)),0)))</f>
        <v>0</v>
      </c>
      <c r="J51" s="121">
        <f>IF($A51&lt;$D$5+$D$4,(LOOKUP($A51,Cot_droits!$A$17:$A$68,Cot_droits!$H$17:$H$68)+LOOKUP($A51,Cot_droits!$A$17:$A$68,Cot_droits!$L$17:$L$68))/LOOKUP($A51,Barèmes!$A$65:$A$148,Barèmes!$C$65:$C$148),0)</f>
        <v>9308.175327611445</v>
      </c>
      <c r="L51" s="131">
        <f>IF($A51&lt;$D$5+$D$4,0,IF(AND($A51&gt;=$D$5,$A51&lt;=INT($D$8)-1+$D$4),LOOKUP($A51,Retraite!$A$7:$A$47,Retraite!$M$7:$M$47)/LOOKUP($A51,Barèmes!$A$65:$A$148,Barèmes!$C$65:$C$148),IF($A51=INT($D$8+$D$4),(LOOKUP($A51,Retraite!$A$7:$A$47,Retraite!$M$7:$M$47)/LOOKUP($A51,Barèmes!$A$65:$A$148,Barèmes!$C$65:$C$148))*(1-(INT($D$8)+1-$D$8)),0)))</f>
        <v>0</v>
      </c>
      <c r="M51" s="151">
        <f>IF($A51&lt;$D$5+$D$4,0,IF(AND($A51&gt;=$D$5,$A51&lt;=INT($D$8)-1+$D$4),LOOKUP($A51,Retraite!$A$7:$A$47,Retraite!$Q$7:$Q$47)/LOOKUP($A51,Barèmes!$A$65:$A$148,Barèmes!$C$65:$C$148),IF($A51=INT($D$8+$D$4),(LOOKUP($A51,Retraite!$A$7:$A$47,Retraite!$Q$7:$Q$47)/LOOKUP($A51,Barèmes!$A$65:$A$148,Barèmes!$C$65:$C$148))*(1-(INT($D$8)+1-$D$8)),0)))</f>
        <v>0</v>
      </c>
      <c r="N51" s="121">
        <f>IF($A51&lt;$D$5+$D$4,(LOOKUP($A51,Cot_droits!$A$17:$A$68,Cot_droits!$I$17:$I$68)+LOOKUP($A51,Cot_droits!$A$17:$A$68,Cot_droits!$J$17:$J$68)+LOOKUP($A51,Cot_droits!$A$17:$A$68,Cot_droits!$N$17:$N$68))/LOOKUP($A51,Barèmes!$A$65:$A$148,Barèmes!$C$65:$C$148),0)</f>
        <v>5256.6281399423751</v>
      </c>
      <c r="O51" s="115"/>
    </row>
    <row r="52" spans="1:15" s="43" customFormat="1" ht="15.75" customHeight="1" x14ac:dyDescent="0.25">
      <c r="A52" s="148">
        <f>TRI_prix!A46</f>
        <v>2051</v>
      </c>
      <c r="B52" s="121">
        <f>Cot_droits!C51/LOOKUP($A52,Barèmes!$A$65:$A$148,Barèmes!$C$65:$C$148)</f>
        <v>53150.867861182327</v>
      </c>
      <c r="C52" s="135"/>
      <c r="D52" s="131">
        <f>IF($A52&lt;$D$5+$D$4,0,IF(AND($A52&gt;=$D$5,$A52&lt;=INT($D$8)-1+$D$4),LOOKUP($A52,Retraite!$A$7:$A$47,Retraite!$K$7:$K$47)/LOOKUP($A52,Barèmes!$A$65:$A$148,Barèmes!$C$65:$C$148),IF($A52=INT($D$8+$D$4),(LOOKUP($A52,Retraite!$A$7:$A$47,Retraite!$K$7:$K$47)/LOOKUP($A52,Barèmes!$A$65:$A$148,Barèmes!$C$65:$C$148))*(1-(INT($D$8)+1-$D$8)),0)))</f>
        <v>0</v>
      </c>
      <c r="E52" s="151">
        <f>IF($A52&lt;$D$5+$D$4,0,IF(AND($A52&gt;=$D$5,$A52&lt;=INT($D$8)-1+$D$4),LOOKUP($A52,Retraite!$A$7:$A$47,Retraite!$N$7:$N$47)/LOOKUP($A52,Barèmes!$A$65:$A$148,Barèmes!$C$65:$C$148),IF($A52=INT($D$8+$D$4),(LOOKUP($A52,Retraite!$A$7:$A$47,Retraite!$N$7:$N$47)/LOOKUP($A52,Barèmes!$A$65:$A$148,Barèmes!$C$65:$C$148))*(1-(INT($D$8)+1-$D$8)),0)))</f>
        <v>0</v>
      </c>
      <c r="F52" s="121">
        <f>IF($A52&lt;$D$5+$D$4,LOOKUP($A52,Cot_droits!$A$17:$A$68,Cot_droits!$Q$17:$Q$68)/LOOKUP($A52,Barèmes!$A$65:$A$148,Barèmes!$C$65:$C$148),0)</f>
        <v>14762.122039764779</v>
      </c>
      <c r="G52" s="115"/>
      <c r="H52" s="131">
        <f>IF($A52&lt;$D$5+$D$4,0,IF(AND($A52&gt;=$D$5,$A52&lt;=INT($D$8)-1+$D$4),LOOKUP($A52,Retraite!$A$7:$A$47,Retraite!$L$7:$L$47)/LOOKUP($A52,Barèmes!$A$65:$A$148,Barèmes!$C$65:$C$148),IF($A52=INT($D$8+$D$4),(LOOKUP($A52,Retraite!$A$7:$A$47,Retraite!$L$7:$L$47)/LOOKUP($A52,Barèmes!$A$65:$A$148,Barèmes!$C$65:$C$148))*(1-(INT($D$8)+1-$D$8)),0)))</f>
        <v>0</v>
      </c>
      <c r="I52" s="151">
        <f>IF($A52&lt;$D$5+$D$4,0,IF(AND($A52&gt;=$D$5,$A52&lt;=INT($D$8)-1+$D$4),LOOKUP($A52,Retraite!$A$7:$A$47,Retraite!$P$7:$P$47)/LOOKUP($A52,Barèmes!$A$65:$A$148,Barèmes!$C$65:$C$148),IF($A52=INT($D$8+$D$4),(LOOKUP($A52,Retraite!$A$7:$A$47,Retraite!$P$7:$P$47)/LOOKUP($A52,Barèmes!$A$65:$A$148,Barèmes!$C$65:$C$148))*(1-(INT($D$8)+1-$D$8)),0)))</f>
        <v>0</v>
      </c>
      <c r="J52" s="121">
        <f>IF($A52&lt;$D$5+$D$4,(LOOKUP($A52,Cot_droits!$A$17:$A$68,Cot_droits!$H$17:$H$68)+LOOKUP($A52,Cot_droits!$A$17:$A$68,Cot_droits!$L$17:$L$68))/LOOKUP($A52,Barèmes!$A$65:$A$148,Barèmes!$C$65:$C$148),0)</f>
        <v>9434.2790453598627</v>
      </c>
      <c r="L52" s="131">
        <f>IF($A52&lt;$D$5+$D$4,0,IF(AND($A52&gt;=$D$5,$A52&lt;=INT($D$8)-1+$D$4),LOOKUP($A52,Retraite!$A$7:$A$47,Retraite!$M$7:$M$47)/LOOKUP($A52,Barèmes!$A$65:$A$148,Barèmes!$C$65:$C$148),IF($A52=INT($D$8+$D$4),(LOOKUP($A52,Retraite!$A$7:$A$47,Retraite!$M$7:$M$47)/LOOKUP($A52,Barèmes!$A$65:$A$148,Barèmes!$C$65:$C$148))*(1-(INT($D$8)+1-$D$8)),0)))</f>
        <v>0</v>
      </c>
      <c r="M52" s="151">
        <f>IF($A52&lt;$D$5+$D$4,0,IF(AND($A52&gt;=$D$5,$A52&lt;=INT($D$8)-1+$D$4),LOOKUP($A52,Retraite!$A$7:$A$47,Retraite!$Q$7:$Q$47)/LOOKUP($A52,Barèmes!$A$65:$A$148,Barèmes!$C$65:$C$148),IF($A52=INT($D$8+$D$4),(LOOKUP($A52,Retraite!$A$7:$A$47,Retraite!$Q$7:$Q$47)/LOOKUP($A52,Barèmes!$A$65:$A$148,Barèmes!$C$65:$C$148))*(1-(INT($D$8)+1-$D$8)),0)))</f>
        <v>0</v>
      </c>
      <c r="N52" s="121">
        <f>IF($A52&lt;$D$5+$D$4,(LOOKUP($A52,Cot_droits!$A$17:$A$68,Cot_droits!$I$17:$I$68)+LOOKUP($A52,Cot_droits!$A$17:$A$68,Cot_droits!$J$17:$J$68)+LOOKUP($A52,Cot_droits!$A$17:$A$68,Cot_droits!$N$17:$N$68))/LOOKUP($A52,Barèmes!$A$65:$A$148,Barèmes!$C$65:$C$148),0)</f>
        <v>5327.8429944049167</v>
      </c>
      <c r="O52" s="115"/>
    </row>
    <row r="53" spans="1:15" s="43" customFormat="1" ht="15.75" customHeight="1" x14ac:dyDescent="0.25">
      <c r="A53" s="148">
        <f>TRI_prix!A47</f>
        <v>2052</v>
      </c>
      <c r="B53" s="121">
        <f>Cot_droits!C52/LOOKUP($A53,Barèmes!$A$65:$A$148,Barèmes!$C$65:$C$148)</f>
        <v>52936.304476221034</v>
      </c>
      <c r="C53" s="135"/>
      <c r="D53" s="131">
        <f>IF($A53&lt;$D$5+$D$4,0,IF(AND($A53&gt;=$D$5,$A53&lt;=INT($D$8)-1+$D$4),LOOKUP($A53,Retraite!$A$7:$A$47,Retraite!$K$7:$K$47)/LOOKUP($A53,Barèmes!$A$65:$A$148,Barèmes!$C$65:$C$148),IF($A53=INT($D$8+$D$4),(LOOKUP($A53,Retraite!$A$7:$A$47,Retraite!$K$7:$K$47)/LOOKUP($A53,Barèmes!$A$65:$A$148,Barèmes!$C$65:$C$148))*(1-(INT($D$8)+1-$D$8)),0)))</f>
        <v>0</v>
      </c>
      <c r="E53" s="151">
        <f>IF($A53&lt;$D$5+$D$4,0,IF(AND($A53&gt;=$D$5,$A53&lt;=INT($D$8)-1+$D$4),LOOKUP($A53,Retraite!$A$7:$A$47,Retraite!$N$7:$N$47)/LOOKUP($A53,Barèmes!$A$65:$A$148,Barèmes!$C$65:$C$148),IF($A53=INT($D$8+$D$4),(LOOKUP($A53,Retraite!$A$7:$A$47,Retraite!$N$7:$N$47)/LOOKUP($A53,Barèmes!$A$65:$A$148,Barèmes!$C$65:$C$148))*(1-(INT($D$8)+1-$D$8)),0)))</f>
        <v>0</v>
      </c>
      <c r="F53" s="121">
        <f>IF($A53&lt;$D$5+$D$4,LOOKUP($A53,Cot_droits!$A$17:$A$68,Cot_droits!$Q$17:$Q$68)/LOOKUP($A53,Barèmes!$A$65:$A$148,Barèmes!$C$65:$C$148),0)</f>
        <v>14702.529205225628</v>
      </c>
      <c r="G53" s="115"/>
      <c r="H53" s="131">
        <f>IF($A53&lt;$D$5+$D$4,0,IF(AND($A53&gt;=$D$5,$A53&lt;=INT($D$8)-1+$D$4),LOOKUP($A53,Retraite!$A$7:$A$47,Retraite!$L$7:$L$47)/LOOKUP($A53,Barèmes!$A$65:$A$148,Barèmes!$C$65:$C$148),IF($A53=INT($D$8+$D$4),(LOOKUP($A53,Retraite!$A$7:$A$47,Retraite!$L$7:$L$47)/LOOKUP($A53,Barèmes!$A$65:$A$148,Barèmes!$C$65:$C$148))*(1-(INT($D$8)+1-$D$8)),0)))</f>
        <v>0</v>
      </c>
      <c r="I53" s="151">
        <f>IF($A53&lt;$D$5+$D$4,0,IF(AND($A53&gt;=$D$5,$A53&lt;=INT($D$8)-1+$D$4),LOOKUP($A53,Retraite!$A$7:$A$47,Retraite!$P$7:$P$47)/LOOKUP($A53,Barèmes!$A$65:$A$148,Barèmes!$C$65:$C$148),IF($A53=INT($D$8+$D$4),(LOOKUP($A53,Retraite!$A$7:$A$47,Retraite!$P$7:$P$47)/LOOKUP($A53,Barèmes!$A$65:$A$148,Barèmes!$C$65:$C$148))*(1-(INT($D$8)+1-$D$8)),0)))</f>
        <v>0</v>
      </c>
      <c r="J53" s="121">
        <f>IF($A53&lt;$D$5+$D$4,(LOOKUP($A53,Cot_droits!$A$17:$A$68,Cot_droits!$H$17:$H$68)+LOOKUP($A53,Cot_droits!$A$17:$A$68,Cot_droits!$L$17:$L$68))/LOOKUP($A53,Barèmes!$A$65:$A$148,Barèmes!$C$65:$C$148),0)</f>
        <v>9396.194044529233</v>
      </c>
      <c r="L53" s="131">
        <f>IF($A53&lt;$D$5+$D$4,0,IF(AND($A53&gt;=$D$5,$A53&lt;=INT($D$8)-1+$D$4),LOOKUP($A53,Retraite!$A$7:$A$47,Retraite!$M$7:$M$47)/LOOKUP($A53,Barèmes!$A$65:$A$148,Barèmes!$C$65:$C$148),IF($A53=INT($D$8+$D$4),(LOOKUP($A53,Retraite!$A$7:$A$47,Retraite!$M$7:$M$47)/LOOKUP($A53,Barèmes!$A$65:$A$148,Barèmes!$C$65:$C$148))*(1-(INT($D$8)+1-$D$8)),0)))</f>
        <v>0</v>
      </c>
      <c r="M53" s="151">
        <f>IF($A53&lt;$D$5+$D$4,0,IF(AND($A53&gt;=$D$5,$A53&lt;=INT($D$8)-1+$D$4),LOOKUP($A53,Retraite!$A$7:$A$47,Retraite!$Q$7:$Q$47)/LOOKUP($A53,Barèmes!$A$65:$A$148,Barèmes!$C$65:$C$148),IF($A53=INT($D$8+$D$4),(LOOKUP($A53,Retraite!$A$7:$A$47,Retraite!$Q$7:$Q$47)/LOOKUP($A53,Barèmes!$A$65:$A$148,Barèmes!$C$65:$C$148))*(1-(INT($D$8)+1-$D$8)),0)))</f>
        <v>0</v>
      </c>
      <c r="N53" s="121">
        <f>IF($A53&lt;$D$5+$D$4,(LOOKUP($A53,Cot_droits!$A$17:$A$68,Cot_droits!$I$17:$I$68)+LOOKUP($A53,Cot_droits!$A$17:$A$68,Cot_droits!$J$17:$J$68)+LOOKUP($A53,Cot_droits!$A$17:$A$68,Cot_droits!$N$17:$N$68))/LOOKUP($A53,Barèmes!$A$65:$A$148,Barèmes!$C$65:$C$148),0)</f>
        <v>5306.3351606963961</v>
      </c>
      <c r="O53" s="115"/>
    </row>
    <row r="54" spans="1:15" s="43" customFormat="1" ht="15.75" customHeight="1" x14ac:dyDescent="0.25">
      <c r="A54" s="148">
        <f>TRI_prix!A48</f>
        <v>2053</v>
      </c>
      <c r="B54" s="121">
        <f>Cot_droits!C53/LOOKUP($A54,Barèmes!$A$65:$A$148,Barèmes!$C$65:$C$148)</f>
        <v>53517.022020521028</v>
      </c>
      <c r="C54" s="135"/>
      <c r="D54" s="131">
        <f>IF($A54&lt;$D$5+$D$4,0,IF(AND($A54&gt;=$D$5,$A54&lt;=INT($D$8)-1+$D$4),LOOKUP($A54,Retraite!$A$7:$A$47,Retraite!$K$7:$K$47)/LOOKUP($A54,Barèmes!$A$65:$A$148,Barèmes!$C$65:$C$148),IF($A54=INT($D$8+$D$4),(LOOKUP($A54,Retraite!$A$7:$A$47,Retraite!$K$7:$K$47)/LOOKUP($A54,Barèmes!$A$65:$A$148,Barèmes!$C$65:$C$148))*(1-(INT($D$8)+1-$D$8)),0)))</f>
        <v>0</v>
      </c>
      <c r="E54" s="151">
        <f>IF($A54&lt;$D$5+$D$4,0,IF(AND($A54&gt;=$D$5,$A54&lt;=INT($D$8)-1+$D$4),LOOKUP($A54,Retraite!$A$7:$A$47,Retraite!$N$7:$N$47)/LOOKUP($A54,Barèmes!$A$65:$A$148,Barèmes!$C$65:$C$148),IF($A54=INT($D$8+$D$4),(LOOKUP($A54,Retraite!$A$7:$A$47,Retraite!$N$7:$N$47)/LOOKUP($A54,Barèmes!$A$65:$A$148,Barèmes!$C$65:$C$148))*(1-(INT($D$8)+1-$D$8)),0)))</f>
        <v>0</v>
      </c>
      <c r="F54" s="121">
        <f>IF($A54&lt;$D$5+$D$4,LOOKUP($A54,Cot_droits!$A$17:$A$68,Cot_droits!$Q$17:$Q$68)/LOOKUP($A54,Barèmes!$A$65:$A$148,Barèmes!$C$65:$C$148),0)</f>
        <v>14863.817695979511</v>
      </c>
      <c r="G54" s="115"/>
      <c r="H54" s="131">
        <f>IF($A54&lt;$D$5+$D$4,0,IF(AND($A54&gt;=$D$5,$A54&lt;=INT($D$8)-1+$D$4),LOOKUP($A54,Retraite!$A$7:$A$47,Retraite!$L$7:$L$47)/LOOKUP($A54,Barèmes!$A$65:$A$148,Barèmes!$C$65:$C$148),IF($A54=INT($D$8+$D$4),(LOOKUP($A54,Retraite!$A$7:$A$47,Retraite!$L$7:$L$47)/LOOKUP($A54,Barèmes!$A$65:$A$148,Barèmes!$C$65:$C$148))*(1-(INT($D$8)+1-$D$8)),0)))</f>
        <v>0</v>
      </c>
      <c r="I54" s="151">
        <f>IF($A54&lt;$D$5+$D$4,0,IF(AND($A54&gt;=$D$5,$A54&lt;=INT($D$8)-1+$D$4),LOOKUP($A54,Retraite!$A$7:$A$47,Retraite!$P$7:$P$47)/LOOKUP($A54,Barèmes!$A$65:$A$148,Barèmes!$C$65:$C$148),IF($A54=INT($D$8+$D$4),(LOOKUP($A54,Retraite!$A$7:$A$47,Retraite!$P$7:$P$47)/LOOKUP($A54,Barèmes!$A$65:$A$148,Barèmes!$C$65:$C$148))*(1-(INT($D$8)+1-$D$8)),0)))</f>
        <v>0</v>
      </c>
      <c r="J54" s="121">
        <f>IF($A54&lt;$D$5+$D$4,(LOOKUP($A54,Cot_droits!$A$17:$A$68,Cot_droits!$H$17:$H$68)+LOOKUP($A54,Cot_droits!$A$17:$A$68,Cot_droits!$L$17:$L$68))/LOOKUP($A54,Barèmes!$A$65:$A$148,Barèmes!$C$65:$C$148),0)</f>
        <v>9499.2714086424821</v>
      </c>
      <c r="L54" s="131">
        <f>IF($A54&lt;$D$5+$D$4,0,IF(AND($A54&gt;=$D$5,$A54&lt;=INT($D$8)-1+$D$4),LOOKUP($A54,Retraite!$A$7:$A$47,Retraite!$M$7:$M$47)/LOOKUP($A54,Barèmes!$A$65:$A$148,Barèmes!$C$65:$C$148),IF($A54=INT($D$8+$D$4),(LOOKUP($A54,Retraite!$A$7:$A$47,Retraite!$M$7:$M$47)/LOOKUP($A54,Barèmes!$A$65:$A$148,Barèmes!$C$65:$C$148))*(1-(INT($D$8)+1-$D$8)),0)))</f>
        <v>0</v>
      </c>
      <c r="M54" s="151">
        <f>IF($A54&lt;$D$5+$D$4,0,IF(AND($A54&gt;=$D$5,$A54&lt;=INT($D$8)-1+$D$4),LOOKUP($A54,Retraite!$A$7:$A$47,Retraite!$Q$7:$Q$47)/LOOKUP($A54,Barèmes!$A$65:$A$148,Barèmes!$C$65:$C$148),IF($A54=INT($D$8+$D$4),(LOOKUP($A54,Retraite!$A$7:$A$47,Retraite!$Q$7:$Q$47)/LOOKUP($A54,Barèmes!$A$65:$A$148,Barèmes!$C$65:$C$148))*(1-(INT($D$8)+1-$D$8)),0)))</f>
        <v>0</v>
      </c>
      <c r="N54" s="121">
        <f>IF($A54&lt;$D$5+$D$4,(LOOKUP($A54,Cot_droits!$A$17:$A$68,Cot_droits!$I$17:$I$68)+LOOKUP($A54,Cot_droits!$A$17:$A$68,Cot_droits!$J$17:$J$68)+LOOKUP($A54,Cot_droits!$A$17:$A$68,Cot_droits!$N$17:$N$68))/LOOKUP($A54,Barèmes!$A$65:$A$148,Barèmes!$C$65:$C$148),0)</f>
        <v>5364.5462873370288</v>
      </c>
      <c r="O54" s="115"/>
    </row>
    <row r="55" spans="1:15" s="43" customFormat="1" ht="15.75" customHeight="1" x14ac:dyDescent="0.25">
      <c r="A55" s="148">
        <f>TRI_prix!A49</f>
        <v>2054</v>
      </c>
      <c r="B55" s="121">
        <f>Cot_droits!C54/LOOKUP($A55,Barèmes!$A$65:$A$148,Barèmes!$C$65:$C$148)</f>
        <v>53619.143596940849</v>
      </c>
      <c r="C55" s="135"/>
      <c r="D55" s="131">
        <f>IF($A55&lt;$D$5+$D$4,0,IF(AND($A55&gt;=$D$5,$A55&lt;=INT($D$8)-1+$D$4),LOOKUP($A55,Retraite!$A$7:$A$47,Retraite!$K$7:$K$47)/LOOKUP($A55,Barèmes!$A$65:$A$148,Barèmes!$C$65:$C$148),IF($A55=INT($D$8+$D$4),(LOOKUP($A55,Retraite!$A$7:$A$47,Retraite!$K$7:$K$47)/LOOKUP($A55,Barèmes!$A$65:$A$148,Barèmes!$C$65:$C$148))*(1-(INT($D$8)+1-$D$8)),0)))</f>
        <v>0</v>
      </c>
      <c r="E55" s="151">
        <f>IF($A55&lt;$D$5+$D$4,0,IF(AND($A55&gt;=$D$5,$A55&lt;=INT($D$8)-1+$D$4),LOOKUP($A55,Retraite!$A$7:$A$47,Retraite!$N$7:$N$47)/LOOKUP($A55,Barèmes!$A$65:$A$148,Barèmes!$C$65:$C$148),IF($A55=INT($D$8+$D$4),(LOOKUP($A55,Retraite!$A$7:$A$47,Retraite!$N$7:$N$47)/LOOKUP($A55,Barèmes!$A$65:$A$148,Barèmes!$C$65:$C$148))*(1-(INT($D$8)+1-$D$8)),0)))</f>
        <v>0</v>
      </c>
      <c r="F55" s="121">
        <f>IF($A55&lt;$D$5+$D$4,LOOKUP($A55,Cot_droits!$A$17:$A$68,Cot_droits!$Q$17:$Q$68)/LOOKUP($A55,Barèmes!$A$65:$A$148,Barèmes!$C$65:$C$148),0)</f>
        <v>14892.180942614352</v>
      </c>
      <c r="G55" s="115"/>
      <c r="H55" s="131">
        <f>IF($A55&lt;$D$5+$D$4,0,IF(AND($A55&gt;=$D$5,$A55&lt;=INT($D$8)-1+$D$4),LOOKUP($A55,Retraite!$A$7:$A$47,Retraite!$L$7:$L$47)/LOOKUP($A55,Barèmes!$A$65:$A$148,Barèmes!$C$65:$C$148),IF($A55=INT($D$8+$D$4),(LOOKUP($A55,Retraite!$A$7:$A$47,Retraite!$L$7:$L$47)/LOOKUP($A55,Barèmes!$A$65:$A$148,Barèmes!$C$65:$C$148))*(1-(INT($D$8)+1-$D$8)),0)))</f>
        <v>0</v>
      </c>
      <c r="I55" s="151">
        <f>IF($A55&lt;$D$5+$D$4,0,IF(AND($A55&gt;=$D$5,$A55&lt;=INT($D$8)-1+$D$4),LOOKUP($A55,Retraite!$A$7:$A$47,Retraite!$P$7:$P$47)/LOOKUP($A55,Barèmes!$A$65:$A$148,Barèmes!$C$65:$C$148),IF($A55=INT($D$8+$D$4),(LOOKUP($A55,Retraite!$A$7:$A$47,Retraite!$P$7:$P$47)/LOOKUP($A55,Barèmes!$A$65:$A$148,Barèmes!$C$65:$C$148))*(1-(INT($D$8)+1-$D$8)),0)))</f>
        <v>0</v>
      </c>
      <c r="J55" s="121">
        <f>IF($A55&lt;$D$5+$D$4,(LOOKUP($A55,Cot_droits!$A$17:$A$68,Cot_droits!$H$17:$H$68)+LOOKUP($A55,Cot_droits!$A$17:$A$68,Cot_droits!$L$17:$L$68))/LOOKUP($A55,Barèmes!$A$65:$A$148,Barèmes!$C$65:$C$148),0)</f>
        <v>9517.3979884569999</v>
      </c>
      <c r="L55" s="131">
        <f>IF($A55&lt;$D$5+$D$4,0,IF(AND($A55&gt;=$D$5,$A55&lt;=INT($D$8)-1+$D$4),LOOKUP($A55,Retraite!$A$7:$A$47,Retraite!$M$7:$M$47)/LOOKUP($A55,Barèmes!$A$65:$A$148,Barèmes!$C$65:$C$148),IF($A55=INT($D$8+$D$4),(LOOKUP($A55,Retraite!$A$7:$A$47,Retraite!$M$7:$M$47)/LOOKUP($A55,Barèmes!$A$65:$A$148,Barèmes!$C$65:$C$148))*(1-(INT($D$8)+1-$D$8)),0)))</f>
        <v>0</v>
      </c>
      <c r="M55" s="151">
        <f>IF($A55&lt;$D$5+$D$4,0,IF(AND($A55&gt;=$D$5,$A55&lt;=INT($D$8)-1+$D$4),LOOKUP($A55,Retraite!$A$7:$A$47,Retraite!$Q$7:$Q$47)/LOOKUP($A55,Barèmes!$A$65:$A$148,Barèmes!$C$65:$C$148),IF($A55=INT($D$8+$D$4),(LOOKUP($A55,Retraite!$A$7:$A$47,Retraite!$Q$7:$Q$47)/LOOKUP($A55,Barèmes!$A$65:$A$148,Barèmes!$C$65:$C$148))*(1-(INT($D$8)+1-$D$8)),0)))</f>
        <v>0</v>
      </c>
      <c r="N55" s="121">
        <f>IF($A55&lt;$D$5+$D$4,(LOOKUP($A55,Cot_droits!$A$17:$A$68,Cot_droits!$I$17:$I$68)+LOOKUP($A55,Cot_droits!$A$17:$A$68,Cot_droits!$J$17:$J$68)+LOOKUP($A55,Cot_droits!$A$17:$A$68,Cot_droits!$N$17:$N$68))/LOOKUP($A55,Barèmes!$A$65:$A$148,Barèmes!$C$65:$C$148),0)</f>
        <v>5374.782954157351</v>
      </c>
      <c r="O55" s="115"/>
    </row>
    <row r="56" spans="1:15" s="43" customFormat="1" ht="15.75" customHeight="1" x14ac:dyDescent="0.25">
      <c r="A56" s="148">
        <f>TRI_prix!A50</f>
        <v>2055</v>
      </c>
      <c r="B56" s="121">
        <f>Cot_droits!C55/LOOKUP($A56,Barèmes!$A$65:$A$148,Barèmes!$C$65:$C$148)</f>
        <v>54346.109139684995</v>
      </c>
      <c r="C56" s="135"/>
      <c r="D56" s="131">
        <f>IF($A56&lt;$D$5+$D$4,0,IF(AND($A56&gt;=$D$5,$A56&lt;=INT($D$8)-1+$D$4),LOOKUP($A56,Retraite!$A$7:$A$47,Retraite!$K$7:$K$47)/LOOKUP($A56,Barèmes!$A$65:$A$148,Barèmes!$C$65:$C$148),IF($A56=INT($D$8+$D$4),(LOOKUP($A56,Retraite!$A$7:$A$47,Retraite!$K$7:$K$47)/LOOKUP($A56,Barèmes!$A$65:$A$148,Barèmes!$C$65:$C$148))*(1-(INT($D$8)+1-$D$8)),0)))</f>
        <v>0</v>
      </c>
      <c r="E56" s="151">
        <f>IF($A56&lt;$D$5+$D$4,0,IF(AND($A56&gt;=$D$5,$A56&lt;=INT($D$8)-1+$D$4),LOOKUP($A56,Retraite!$A$7:$A$47,Retraite!$N$7:$N$47)/LOOKUP($A56,Barèmes!$A$65:$A$148,Barèmes!$C$65:$C$148),IF($A56=INT($D$8+$D$4),(LOOKUP($A56,Retraite!$A$7:$A$47,Retraite!$N$7:$N$47)/LOOKUP($A56,Barèmes!$A$65:$A$148,Barèmes!$C$65:$C$148))*(1-(INT($D$8)+1-$D$8)),0)))</f>
        <v>0</v>
      </c>
      <c r="F56" s="121">
        <f>IF($A56&lt;$D$5+$D$4,LOOKUP($A56,Cot_droits!$A$17:$A$68,Cot_droits!$Q$17:$Q$68)/LOOKUP($A56,Barèmes!$A$65:$A$148,Barèmes!$C$65:$C$148),0)</f>
        <v>15094.08835245611</v>
      </c>
      <c r="G56" s="115"/>
      <c r="H56" s="131">
        <f>IF($A56&lt;$D$5+$D$4,0,IF(AND($A56&gt;=$D$5,$A56&lt;=INT($D$8)-1+$D$4),LOOKUP($A56,Retraite!$A$7:$A$47,Retraite!$L$7:$L$47)/LOOKUP($A56,Barèmes!$A$65:$A$148,Barèmes!$C$65:$C$148),IF($A56=INT($D$8+$D$4),(LOOKUP($A56,Retraite!$A$7:$A$47,Retraite!$L$7:$L$47)/LOOKUP($A56,Barèmes!$A$65:$A$148,Barèmes!$C$65:$C$148))*(1-(INT($D$8)+1-$D$8)),0)))</f>
        <v>0</v>
      </c>
      <c r="I56" s="151">
        <f>IF($A56&lt;$D$5+$D$4,0,IF(AND($A56&gt;=$D$5,$A56&lt;=INT($D$8)-1+$D$4),LOOKUP($A56,Retraite!$A$7:$A$47,Retraite!$P$7:$P$47)/LOOKUP($A56,Barèmes!$A$65:$A$148,Barèmes!$C$65:$C$148),IF($A56=INT($D$8+$D$4),(LOOKUP($A56,Retraite!$A$7:$A$47,Retraite!$P$7:$P$47)/LOOKUP($A56,Barèmes!$A$65:$A$148,Barèmes!$C$65:$C$148))*(1-(INT($D$8)+1-$D$8)),0)))</f>
        <v>0</v>
      </c>
      <c r="J56" s="121">
        <f>IF($A56&lt;$D$5+$D$4,(LOOKUP($A56,Cot_droits!$A$17:$A$68,Cot_droits!$H$17:$H$68)+LOOKUP($A56,Cot_droits!$A$17:$A$68,Cot_droits!$L$17:$L$68))/LOOKUP($A56,Barèmes!$A$65:$A$148,Barèmes!$C$65:$C$148),0)</f>
        <v>9646.4343722940866</v>
      </c>
      <c r="L56" s="131">
        <f>IF($A56&lt;$D$5+$D$4,0,IF(AND($A56&gt;=$D$5,$A56&lt;=INT($D$8)-1+$D$4),LOOKUP($A56,Retraite!$A$7:$A$47,Retraite!$M$7:$M$47)/LOOKUP($A56,Barèmes!$A$65:$A$148,Barèmes!$C$65:$C$148),IF($A56=INT($D$8+$D$4),(LOOKUP($A56,Retraite!$A$7:$A$47,Retraite!$M$7:$M$47)/LOOKUP($A56,Barèmes!$A$65:$A$148,Barèmes!$C$65:$C$148))*(1-(INT($D$8)+1-$D$8)),0)))</f>
        <v>0</v>
      </c>
      <c r="M56" s="151">
        <f>IF($A56&lt;$D$5+$D$4,0,IF(AND($A56&gt;=$D$5,$A56&lt;=INT($D$8)-1+$D$4),LOOKUP($A56,Retraite!$A$7:$A$47,Retraite!$Q$7:$Q$47)/LOOKUP($A56,Barèmes!$A$65:$A$148,Barèmes!$C$65:$C$148),IF($A56=INT($D$8+$D$4),(LOOKUP($A56,Retraite!$A$7:$A$47,Retraite!$Q$7:$Q$47)/LOOKUP($A56,Barèmes!$A$65:$A$148,Barèmes!$C$65:$C$148))*(1-(INT($D$8)+1-$D$8)),0)))</f>
        <v>0</v>
      </c>
      <c r="N56" s="121">
        <f>IF($A56&lt;$D$5+$D$4,(LOOKUP($A56,Cot_droits!$A$17:$A$68,Cot_droits!$I$17:$I$68)+LOOKUP($A56,Cot_droits!$A$17:$A$68,Cot_droits!$J$17:$J$68)+LOOKUP($A56,Cot_droits!$A$17:$A$68,Cot_droits!$N$17:$N$68))/LOOKUP($A56,Barèmes!$A$65:$A$148,Barèmes!$C$65:$C$148),0)</f>
        <v>5447.6539801620238</v>
      </c>
      <c r="O56" s="115"/>
    </row>
    <row r="57" spans="1:15" s="43" customFormat="1" ht="15.75" customHeight="1" x14ac:dyDescent="0.25">
      <c r="A57" s="148">
        <f>TRI_prix!A51</f>
        <v>2056</v>
      </c>
      <c r="B57" s="121">
        <f>Cot_droits!C56/LOOKUP($A57,Barèmes!$A$65:$A$148,Barèmes!$C$65:$C$148)</f>
        <v>54011.416748482283</v>
      </c>
      <c r="C57" s="135"/>
      <c r="D57" s="131">
        <f>IF($A57&lt;$D$5+$D$4,0,IF(AND($A57&gt;=$D$5,$A57&lt;=INT($D$8)-1+$D$4),LOOKUP($A57,Retraite!$A$7:$A$47,Retraite!$K$7:$K$47)/LOOKUP($A57,Barèmes!$A$65:$A$148,Barèmes!$C$65:$C$148),IF($A57=INT($D$8+$D$4),(LOOKUP($A57,Retraite!$A$7:$A$47,Retraite!$K$7:$K$47)/LOOKUP($A57,Barèmes!$A$65:$A$148,Barèmes!$C$65:$C$148))*(1-(INT($D$8)+1-$D$8)),0)))</f>
        <v>0</v>
      </c>
      <c r="E57" s="151">
        <f>IF($A57&lt;$D$5+$D$4,0,IF(AND($A57&gt;=$D$5,$A57&lt;=INT($D$8)-1+$D$4),LOOKUP($A57,Retraite!$A$7:$A$47,Retraite!$N$7:$N$47)/LOOKUP($A57,Barèmes!$A$65:$A$148,Barèmes!$C$65:$C$148),IF($A57=INT($D$8+$D$4),(LOOKUP($A57,Retraite!$A$7:$A$47,Retraite!$N$7:$N$47)/LOOKUP($A57,Barèmes!$A$65:$A$148,Barèmes!$C$65:$C$148))*(1-(INT($D$8)+1-$D$8)),0)))</f>
        <v>0</v>
      </c>
      <c r="F57" s="121">
        <f>IF($A57&lt;$D$5+$D$4,LOOKUP($A57,Cot_droits!$A$17:$A$68,Cot_droits!$Q$17:$Q$68)/LOOKUP($A57,Barèmes!$A$65:$A$148,Barèmes!$C$65:$C$148),0)</f>
        <v>15001.130887723466</v>
      </c>
      <c r="G57" s="115"/>
      <c r="H57" s="131">
        <f>IF($A57&lt;$D$5+$D$4,0,IF(AND($A57&gt;=$D$5,$A57&lt;=INT($D$8)-1+$D$4),LOOKUP($A57,Retraite!$A$7:$A$47,Retraite!$L$7:$L$47)/LOOKUP($A57,Barèmes!$A$65:$A$148,Barèmes!$C$65:$C$148),IF($A57=INT($D$8+$D$4),(LOOKUP($A57,Retraite!$A$7:$A$47,Retraite!$L$7:$L$47)/LOOKUP($A57,Barèmes!$A$65:$A$148,Barèmes!$C$65:$C$148))*(1-(INT($D$8)+1-$D$8)),0)))</f>
        <v>0</v>
      </c>
      <c r="I57" s="151">
        <f>IF($A57&lt;$D$5+$D$4,0,IF(AND($A57&gt;=$D$5,$A57&lt;=INT($D$8)-1+$D$4),LOOKUP($A57,Retraite!$A$7:$A$47,Retraite!$P$7:$P$47)/LOOKUP($A57,Barèmes!$A$65:$A$148,Barèmes!$C$65:$C$148),IF($A57=INT($D$8+$D$4),(LOOKUP($A57,Retraite!$A$7:$A$47,Retraite!$P$7:$P$47)/LOOKUP($A57,Barèmes!$A$65:$A$148,Barèmes!$C$65:$C$148))*(1-(INT($D$8)+1-$D$8)),0)))</f>
        <v>0</v>
      </c>
      <c r="J57" s="121">
        <f>IF($A57&lt;$D$5+$D$4,(LOOKUP($A57,Cot_droits!$A$17:$A$68,Cot_droits!$H$17:$H$68)+LOOKUP($A57,Cot_droits!$A$17:$A$68,Cot_droits!$L$17:$L$68))/LOOKUP($A57,Barèmes!$A$65:$A$148,Barèmes!$C$65:$C$148),0)</f>
        <v>9587.0264728556031</v>
      </c>
      <c r="L57" s="131">
        <f>IF($A57&lt;$D$5+$D$4,0,IF(AND($A57&gt;=$D$5,$A57&lt;=INT($D$8)-1+$D$4),LOOKUP($A57,Retraite!$A$7:$A$47,Retraite!$M$7:$M$47)/LOOKUP($A57,Barèmes!$A$65:$A$148,Barèmes!$C$65:$C$148),IF($A57=INT($D$8+$D$4),(LOOKUP($A57,Retraite!$A$7:$A$47,Retraite!$M$7:$M$47)/LOOKUP($A57,Barèmes!$A$65:$A$148,Barèmes!$C$65:$C$148))*(1-(INT($D$8)+1-$D$8)),0)))</f>
        <v>0</v>
      </c>
      <c r="M57" s="151">
        <f>IF($A57&lt;$D$5+$D$4,0,IF(AND($A57&gt;=$D$5,$A57&lt;=INT($D$8)-1+$D$4),LOOKUP($A57,Retraite!$A$7:$A$47,Retraite!$Q$7:$Q$47)/LOOKUP($A57,Barèmes!$A$65:$A$148,Barèmes!$C$65:$C$148),IF($A57=INT($D$8+$D$4),(LOOKUP($A57,Retraite!$A$7:$A$47,Retraite!$Q$7:$Q$47)/LOOKUP($A57,Barèmes!$A$65:$A$148,Barèmes!$C$65:$C$148))*(1-(INT($D$8)+1-$D$8)),0)))</f>
        <v>0</v>
      </c>
      <c r="N57" s="121">
        <f>IF($A57&lt;$D$5+$D$4,(LOOKUP($A57,Cot_droits!$A$17:$A$68,Cot_droits!$I$17:$I$68)+LOOKUP($A57,Cot_droits!$A$17:$A$68,Cot_droits!$J$17:$J$68)+LOOKUP($A57,Cot_droits!$A$17:$A$68,Cot_droits!$N$17:$N$68))/LOOKUP($A57,Barèmes!$A$65:$A$148,Barèmes!$C$65:$C$148),0)</f>
        <v>5414.1044148678639</v>
      </c>
      <c r="O57" s="115"/>
    </row>
    <row r="58" spans="1:15" s="43" customFormat="1" ht="15.75" customHeight="1" x14ac:dyDescent="0.25">
      <c r="A58" s="148">
        <f>TRI_prix!A52</f>
        <v>2057</v>
      </c>
      <c r="B58" s="121">
        <f>Cot_droits!C57/LOOKUP($A58,Barèmes!$A$65:$A$148,Barèmes!$C$65:$C$148)</f>
        <v>55253.029730690454</v>
      </c>
      <c r="C58" s="135"/>
      <c r="D58" s="131">
        <f>IF($A58&lt;$D$5+$D$4,0,IF(AND($A58&gt;=$D$5,$A58&lt;=INT($D$8)-1+$D$4),LOOKUP($A58,Retraite!$A$7:$A$47,Retraite!$K$7:$K$47)/LOOKUP($A58,Barèmes!$A$65:$A$148,Barèmes!$C$65:$C$148),IF($A58=INT($D$8+$D$4),(LOOKUP($A58,Retraite!$A$7:$A$47,Retraite!$K$7:$K$47)/LOOKUP($A58,Barèmes!$A$65:$A$148,Barèmes!$C$65:$C$148))*(1-(INT($D$8)+1-$D$8)),0)))</f>
        <v>0</v>
      </c>
      <c r="E58" s="151">
        <f>IF($A58&lt;$D$5+$D$4,0,IF(AND($A58&gt;=$D$5,$A58&lt;=INT($D$8)-1+$D$4),LOOKUP($A58,Retraite!$A$7:$A$47,Retraite!$N$7:$N$47)/LOOKUP($A58,Barèmes!$A$65:$A$148,Barèmes!$C$65:$C$148),IF($A58=INT($D$8+$D$4),(LOOKUP($A58,Retraite!$A$7:$A$47,Retraite!$N$7:$N$47)/LOOKUP($A58,Barèmes!$A$65:$A$148,Barèmes!$C$65:$C$148))*(1-(INT($D$8)+1-$D$8)),0)))</f>
        <v>0</v>
      </c>
      <c r="F58" s="121">
        <f>IF($A58&lt;$D$5+$D$4,LOOKUP($A58,Cot_droits!$A$17:$A$68,Cot_droits!$Q$17:$Q$68)/LOOKUP($A58,Barèmes!$A$65:$A$148,Barèmes!$C$65:$C$148),0)</f>
        <v>15345.976477401966</v>
      </c>
      <c r="G58" s="115"/>
      <c r="H58" s="131">
        <f>IF($A58&lt;$D$5+$D$4,0,IF(AND($A58&gt;=$D$5,$A58&lt;=INT($D$8)-1+$D$4),LOOKUP($A58,Retraite!$A$7:$A$47,Retraite!$L$7:$L$47)/LOOKUP($A58,Barèmes!$A$65:$A$148,Barèmes!$C$65:$C$148),IF($A58=INT($D$8+$D$4),(LOOKUP($A58,Retraite!$A$7:$A$47,Retraite!$L$7:$L$47)/LOOKUP($A58,Barèmes!$A$65:$A$148,Barèmes!$C$65:$C$148))*(1-(INT($D$8)+1-$D$8)),0)))</f>
        <v>0</v>
      </c>
      <c r="I58" s="151">
        <f>IF($A58&lt;$D$5+$D$4,0,IF(AND($A58&gt;=$D$5,$A58&lt;=INT($D$8)-1+$D$4),LOOKUP($A58,Retraite!$A$7:$A$47,Retraite!$P$7:$P$47)/LOOKUP($A58,Barèmes!$A$65:$A$148,Barèmes!$C$65:$C$148),IF($A58=INT($D$8+$D$4),(LOOKUP($A58,Retraite!$A$7:$A$47,Retraite!$P$7:$P$47)/LOOKUP($A58,Barèmes!$A$65:$A$148,Barèmes!$C$65:$C$148))*(1-(INT($D$8)+1-$D$8)),0)))</f>
        <v>0</v>
      </c>
      <c r="J58" s="121">
        <f>IF($A58&lt;$D$5+$D$4,(LOOKUP($A58,Cot_droits!$A$17:$A$68,Cot_droits!$H$17:$H$68)+LOOKUP($A58,Cot_droits!$A$17:$A$68,Cot_droits!$L$17:$L$68))/LOOKUP($A58,Barèmes!$A$65:$A$148,Barèmes!$C$65:$C$148),0)</f>
        <v>9807.4127771975545</v>
      </c>
      <c r="L58" s="131">
        <f>IF($A58&lt;$D$5+$D$4,0,IF(AND($A58&gt;=$D$5,$A58&lt;=INT($D$8)-1+$D$4),LOOKUP($A58,Retraite!$A$7:$A$47,Retraite!$M$7:$M$47)/LOOKUP($A58,Barèmes!$A$65:$A$148,Barèmes!$C$65:$C$148),IF($A58=INT($D$8+$D$4),(LOOKUP($A58,Retraite!$A$7:$A$47,Retraite!$M$7:$M$47)/LOOKUP($A58,Barèmes!$A$65:$A$148,Barèmes!$C$65:$C$148))*(1-(INT($D$8)+1-$D$8)),0)))</f>
        <v>0</v>
      </c>
      <c r="M58" s="151">
        <f>IF($A58&lt;$D$5+$D$4,0,IF(AND($A58&gt;=$D$5,$A58&lt;=INT($D$8)-1+$D$4),LOOKUP($A58,Retraite!$A$7:$A$47,Retraite!$Q$7:$Q$47)/LOOKUP($A58,Barèmes!$A$65:$A$148,Barèmes!$C$65:$C$148),IF($A58=INT($D$8+$D$4),(LOOKUP($A58,Retraite!$A$7:$A$47,Retraite!$Q$7:$Q$47)/LOOKUP($A58,Barèmes!$A$65:$A$148,Barèmes!$C$65:$C$148))*(1-(INT($D$8)+1-$D$8)),0)))</f>
        <v>0</v>
      </c>
      <c r="N58" s="121">
        <f>IF($A58&lt;$D$5+$D$4,(LOOKUP($A58,Cot_droits!$A$17:$A$68,Cot_droits!$I$17:$I$68)+LOOKUP($A58,Cot_droits!$A$17:$A$68,Cot_droits!$J$17:$J$68)+LOOKUP($A58,Cot_droits!$A$17:$A$68,Cot_droits!$N$17:$N$68))/LOOKUP($A58,Barèmes!$A$65:$A$148,Barèmes!$C$65:$C$148),0)</f>
        <v>5538.5637002044114</v>
      </c>
      <c r="O58" s="115"/>
    </row>
    <row r="59" spans="1:15" s="43" customFormat="1" ht="15.75" customHeight="1" x14ac:dyDescent="0.25">
      <c r="A59" s="148">
        <f>TRI_prix!A53</f>
        <v>2058</v>
      </c>
      <c r="B59" s="121">
        <f>Cot_droits!C58/LOOKUP($A59,Barèmes!$A$65:$A$148,Barèmes!$C$65:$C$148)</f>
        <v>56394.230173026488</v>
      </c>
      <c r="C59" s="135"/>
      <c r="D59" s="131">
        <f>IF($A59&lt;$D$5+$D$4,0,IF(AND($A59&gt;=$D$5,$A59&lt;=INT($D$8)-1+$D$4),LOOKUP($A59,Retraite!$A$7:$A$47,Retraite!$K$7:$K$47)/LOOKUP($A59,Barèmes!$A$65:$A$148,Barèmes!$C$65:$C$148),IF($A59=INT($D$8+$D$4),(LOOKUP($A59,Retraite!$A$7:$A$47,Retraite!$K$7:$K$47)/LOOKUP($A59,Barèmes!$A$65:$A$148,Barèmes!$C$65:$C$148))*(1-(INT($D$8)+1-$D$8)),0)))</f>
        <v>0</v>
      </c>
      <c r="E59" s="151">
        <f>IF($A59&lt;$D$5+$D$4,0,IF(AND($A59&gt;=$D$5,$A59&lt;=INT($D$8)-1+$D$4),LOOKUP($A59,Retraite!$A$7:$A$47,Retraite!$N$7:$N$47)/LOOKUP($A59,Barèmes!$A$65:$A$148,Barèmes!$C$65:$C$148),IF($A59=INT($D$8+$D$4),(LOOKUP($A59,Retraite!$A$7:$A$47,Retraite!$N$7:$N$47)/LOOKUP($A59,Barèmes!$A$65:$A$148,Barèmes!$C$65:$C$148))*(1-(INT($D$8)+1-$D$8)),0)))</f>
        <v>0</v>
      </c>
      <c r="F59" s="121">
        <f>IF($A59&lt;$D$5+$D$4,LOOKUP($A59,Cot_droits!$A$17:$A$68,Cot_droits!$Q$17:$Q$68)/LOOKUP($A59,Barèmes!$A$65:$A$148,Barèmes!$C$65:$C$148),0)</f>
        <v>15662.933488256376</v>
      </c>
      <c r="G59" s="115"/>
      <c r="H59" s="131">
        <f>IF($A59&lt;$D$5+$D$4,0,IF(AND($A59&gt;=$D$5,$A59&lt;=INT($D$8)-1+$D$4),LOOKUP($A59,Retraite!$A$7:$A$47,Retraite!$L$7:$L$47)/LOOKUP($A59,Barèmes!$A$65:$A$148,Barèmes!$C$65:$C$148),IF($A59=INT($D$8+$D$4),(LOOKUP($A59,Retraite!$A$7:$A$47,Retraite!$L$7:$L$47)/LOOKUP($A59,Barèmes!$A$65:$A$148,Barèmes!$C$65:$C$148))*(1-(INT($D$8)+1-$D$8)),0)))</f>
        <v>0</v>
      </c>
      <c r="I59" s="151">
        <f>IF($A59&lt;$D$5+$D$4,0,IF(AND($A59&gt;=$D$5,$A59&lt;=INT($D$8)-1+$D$4),LOOKUP($A59,Retraite!$A$7:$A$47,Retraite!$P$7:$P$47)/LOOKUP($A59,Barèmes!$A$65:$A$148,Barèmes!$C$65:$C$148),IF($A59=INT($D$8+$D$4),(LOOKUP($A59,Retraite!$A$7:$A$47,Retraite!$P$7:$P$47)/LOOKUP($A59,Barèmes!$A$65:$A$148,Barèmes!$C$65:$C$148))*(1-(INT($D$8)+1-$D$8)),0)))</f>
        <v>0</v>
      </c>
      <c r="J59" s="121">
        <f>IF($A59&lt;$D$5+$D$4,(LOOKUP($A59,Cot_droits!$A$17:$A$68,Cot_droits!$H$17:$H$68)+LOOKUP($A59,Cot_droits!$A$17:$A$68,Cot_droits!$L$17:$L$68))/LOOKUP($A59,Barèmes!$A$65:$A$148,Barèmes!$C$65:$C$148),0)</f>
        <v>10009.9758557122</v>
      </c>
      <c r="L59" s="131">
        <f>IF($A59&lt;$D$5+$D$4,0,IF(AND($A59&gt;=$D$5,$A59&lt;=INT($D$8)-1+$D$4),LOOKUP($A59,Retraite!$A$7:$A$47,Retraite!$M$7:$M$47)/LOOKUP($A59,Barèmes!$A$65:$A$148,Barèmes!$C$65:$C$148),IF($A59=INT($D$8+$D$4),(LOOKUP($A59,Retraite!$A$7:$A$47,Retraite!$M$7:$M$47)/LOOKUP($A59,Barèmes!$A$65:$A$148,Barèmes!$C$65:$C$148))*(1-(INT($D$8)+1-$D$8)),0)))</f>
        <v>0</v>
      </c>
      <c r="M59" s="151">
        <f>IF($A59&lt;$D$5+$D$4,0,IF(AND($A59&gt;=$D$5,$A59&lt;=INT($D$8)-1+$D$4),LOOKUP($A59,Retraite!$A$7:$A$47,Retraite!$Q$7:$Q$47)/LOOKUP($A59,Barèmes!$A$65:$A$148,Barèmes!$C$65:$C$148),IF($A59=INT($D$8+$D$4),(LOOKUP($A59,Retraite!$A$7:$A$47,Retraite!$Q$7:$Q$47)/LOOKUP($A59,Barèmes!$A$65:$A$148,Barèmes!$C$65:$C$148))*(1-(INT($D$8)+1-$D$8)),0)))</f>
        <v>0</v>
      </c>
      <c r="N59" s="121">
        <f>IF($A59&lt;$D$5+$D$4,(LOOKUP($A59,Cot_droits!$A$17:$A$68,Cot_droits!$I$17:$I$68)+LOOKUP($A59,Cot_droits!$A$17:$A$68,Cot_droits!$J$17:$J$68)+LOOKUP($A59,Cot_droits!$A$17:$A$68,Cot_droits!$N$17:$N$68))/LOOKUP($A59,Barèmes!$A$65:$A$148,Barèmes!$C$65:$C$148),0)</f>
        <v>5652.9576325441749</v>
      </c>
      <c r="O59" s="115"/>
    </row>
    <row r="60" spans="1:15" s="43" customFormat="1" ht="15.75" customHeight="1" x14ac:dyDescent="0.25">
      <c r="A60" s="148">
        <f>TRI_prix!A54</f>
        <v>2059</v>
      </c>
      <c r="B60" s="121">
        <f>Cot_droits!C59/LOOKUP($A60,Barèmes!$A$65:$A$148,Barèmes!$C$65:$C$148)</f>
        <v>57176.596408847137</v>
      </c>
      <c r="C60" s="135"/>
      <c r="D60" s="131">
        <f>IF($A60&lt;$D$5+$D$4,0,IF(AND($A60&gt;=$D$5,$A60&lt;=INT($D$8)-1+$D$4),LOOKUP($A60,Retraite!$A$7:$A$47,Retraite!$K$7:$K$47)/LOOKUP($A60,Barèmes!$A$65:$A$148,Barèmes!$C$65:$C$148),IF($A60=INT($D$8+$D$4),(LOOKUP($A60,Retraite!$A$7:$A$47,Retraite!$K$7:$K$47)/LOOKUP($A60,Barèmes!$A$65:$A$148,Barèmes!$C$65:$C$148))*(1-(INT($D$8)+1-$D$8)),0)))</f>
        <v>0</v>
      </c>
      <c r="E60" s="151">
        <f>IF($A60&lt;$D$5+$D$4,0,IF(AND($A60&gt;=$D$5,$A60&lt;=INT($D$8)-1+$D$4),LOOKUP($A60,Retraite!$A$7:$A$47,Retraite!$N$7:$N$47)/LOOKUP($A60,Barèmes!$A$65:$A$148,Barèmes!$C$65:$C$148),IF($A60=INT($D$8+$D$4),(LOOKUP($A60,Retraite!$A$7:$A$47,Retraite!$N$7:$N$47)/LOOKUP($A60,Barèmes!$A$65:$A$148,Barèmes!$C$65:$C$148))*(1-(INT($D$8)+1-$D$8)),0)))</f>
        <v>0</v>
      </c>
      <c r="F60" s="121">
        <f>IF($A60&lt;$D$5+$D$4,LOOKUP($A60,Cot_droits!$A$17:$A$68,Cot_droits!$Q$17:$Q$68)/LOOKUP($A60,Barèmes!$A$65:$A$148,Barèmes!$C$65:$C$148),0)</f>
        <v>15880.227886593204</v>
      </c>
      <c r="G60" s="115"/>
      <c r="H60" s="131">
        <f>IF($A60&lt;$D$5+$D$4,0,IF(AND($A60&gt;=$D$5,$A60&lt;=INT($D$8)-1+$D$4),LOOKUP($A60,Retraite!$A$7:$A$47,Retraite!$L$7:$L$47)/LOOKUP($A60,Barèmes!$A$65:$A$148,Barèmes!$C$65:$C$148),IF($A60=INT($D$8+$D$4),(LOOKUP($A60,Retraite!$A$7:$A$47,Retraite!$L$7:$L$47)/LOOKUP($A60,Barèmes!$A$65:$A$148,Barèmes!$C$65:$C$148))*(1-(INT($D$8)+1-$D$8)),0)))</f>
        <v>0</v>
      </c>
      <c r="I60" s="151">
        <f>IF($A60&lt;$D$5+$D$4,0,IF(AND($A60&gt;=$D$5,$A60&lt;=INT($D$8)-1+$D$4),LOOKUP($A60,Retraite!$A$7:$A$47,Retraite!$P$7:$P$47)/LOOKUP($A60,Barèmes!$A$65:$A$148,Barèmes!$C$65:$C$148),IF($A60=INT($D$8+$D$4),(LOOKUP($A60,Retraite!$A$7:$A$47,Retraite!$P$7:$P$47)/LOOKUP($A60,Barèmes!$A$65:$A$148,Barèmes!$C$65:$C$148))*(1-(INT($D$8)+1-$D$8)),0)))</f>
        <v>0</v>
      </c>
      <c r="J60" s="121">
        <f>IF($A60&lt;$D$5+$D$4,(LOOKUP($A60,Cot_droits!$A$17:$A$68,Cot_droits!$H$17:$H$68)+LOOKUP($A60,Cot_droits!$A$17:$A$68,Cot_droits!$L$17:$L$68))/LOOKUP($A60,Barèmes!$A$65:$A$148,Barèmes!$C$65:$C$148),0)</f>
        <v>10148.845862570366</v>
      </c>
      <c r="L60" s="131">
        <f>IF($A60&lt;$D$5+$D$4,0,IF(AND($A60&gt;=$D$5,$A60&lt;=INT($D$8)-1+$D$4),LOOKUP($A60,Retraite!$A$7:$A$47,Retraite!$M$7:$M$47)/LOOKUP($A60,Barèmes!$A$65:$A$148,Barèmes!$C$65:$C$148),IF($A60=INT($D$8+$D$4),(LOOKUP($A60,Retraite!$A$7:$A$47,Retraite!$M$7:$M$47)/LOOKUP($A60,Barèmes!$A$65:$A$148,Barèmes!$C$65:$C$148))*(1-(INT($D$8)+1-$D$8)),0)))</f>
        <v>0</v>
      </c>
      <c r="M60" s="151">
        <f>IF($A60&lt;$D$5+$D$4,0,IF(AND($A60&gt;=$D$5,$A60&lt;=INT($D$8)-1+$D$4),LOOKUP($A60,Retraite!$A$7:$A$47,Retraite!$Q$7:$Q$47)/LOOKUP($A60,Barèmes!$A$65:$A$148,Barèmes!$C$65:$C$148),IF($A60=INT($D$8+$D$4),(LOOKUP($A60,Retraite!$A$7:$A$47,Retraite!$Q$7:$Q$47)/LOOKUP($A60,Barèmes!$A$65:$A$148,Barèmes!$C$65:$C$148))*(1-(INT($D$8)+1-$D$8)),0)))</f>
        <v>0</v>
      </c>
      <c r="N60" s="121">
        <f>IF($A60&lt;$D$5+$D$4,(LOOKUP($A60,Cot_droits!$A$17:$A$68,Cot_droits!$I$17:$I$68)+LOOKUP($A60,Cot_droits!$A$17:$A$68,Cot_droits!$J$17:$J$68)+LOOKUP($A60,Cot_droits!$A$17:$A$68,Cot_droits!$N$17:$N$68))/LOOKUP($A60,Barèmes!$A$65:$A$148,Barèmes!$C$65:$C$148),0)</f>
        <v>5731.382024022837</v>
      </c>
      <c r="O60" s="115"/>
    </row>
    <row r="61" spans="1:15" s="43" customFormat="1" ht="15.75" customHeight="1" x14ac:dyDescent="0.25">
      <c r="A61" s="148">
        <f>TRI_prix!A55</f>
        <v>2060</v>
      </c>
      <c r="B61" s="121">
        <f>Cot_droits!C60/LOOKUP($A61,Barèmes!$A$65:$A$148,Barèmes!$C$65:$C$148)</f>
        <v>58070.841443592246</v>
      </c>
      <c r="C61" s="135"/>
      <c r="D61" s="131">
        <f>IF($A61&lt;$D$5+$D$4,0,IF(AND($A61&gt;=$D$5,$A61&lt;=INT($D$8)-1+$D$4),LOOKUP($A61,Retraite!$A$7:$A$47,Retraite!$K$7:$K$47)/LOOKUP($A61,Barèmes!$A$65:$A$148,Barèmes!$C$65:$C$148),IF($A61=INT($D$8+$D$4),(LOOKUP($A61,Retraite!$A$7:$A$47,Retraite!$K$7:$K$47)/LOOKUP($A61,Barèmes!$A$65:$A$148,Barèmes!$C$65:$C$148))*(1-(INT($D$8)+1-$D$8)),0)))</f>
        <v>0</v>
      </c>
      <c r="E61" s="151">
        <f>IF($A61&lt;$D$5+$D$4,0,IF(AND($A61&gt;=$D$5,$A61&lt;=INT($D$8)-1+$D$4),LOOKUP($A61,Retraite!$A$7:$A$47,Retraite!$N$7:$N$47)/LOOKUP($A61,Barèmes!$A$65:$A$148,Barèmes!$C$65:$C$148),IF($A61=INT($D$8+$D$4),(LOOKUP($A61,Retraite!$A$7:$A$47,Retraite!$N$7:$N$47)/LOOKUP($A61,Barèmes!$A$65:$A$148,Barèmes!$C$65:$C$148))*(1-(INT($D$8)+1-$D$8)),0)))</f>
        <v>0</v>
      </c>
      <c r="F61" s="121">
        <f>IF($A61&lt;$D$5+$D$4,LOOKUP($A61,Cot_droits!$A$17:$A$68,Cot_droits!$Q$17:$Q$68)/LOOKUP($A61,Barèmes!$A$65:$A$148,Barèmes!$C$65:$C$148),0)</f>
        <v>16128.59550254331</v>
      </c>
      <c r="G61" s="115"/>
      <c r="H61" s="131">
        <f>IF($A61&lt;$D$5+$D$4,0,IF(AND($A61&gt;=$D$5,$A61&lt;=INT($D$8)-1+$D$4),LOOKUP($A61,Retraite!$A$7:$A$47,Retraite!$L$7:$L$47)/LOOKUP($A61,Barèmes!$A$65:$A$148,Barèmes!$C$65:$C$148),IF($A61=INT($D$8+$D$4),(LOOKUP($A61,Retraite!$A$7:$A$47,Retraite!$L$7:$L$47)/LOOKUP($A61,Barèmes!$A$65:$A$148,Barèmes!$C$65:$C$148))*(1-(INT($D$8)+1-$D$8)),0)))</f>
        <v>0</v>
      </c>
      <c r="I61" s="151">
        <f>IF($A61&lt;$D$5+$D$4,0,IF(AND($A61&gt;=$D$5,$A61&lt;=INT($D$8)-1+$D$4),LOOKUP($A61,Retraite!$A$7:$A$47,Retraite!$P$7:$P$47)/LOOKUP($A61,Barèmes!$A$65:$A$148,Barèmes!$C$65:$C$148),IF($A61=INT($D$8+$D$4),(LOOKUP($A61,Retraite!$A$7:$A$47,Retraite!$P$7:$P$47)/LOOKUP($A61,Barèmes!$A$65:$A$148,Barèmes!$C$65:$C$148))*(1-(INT($D$8)+1-$D$8)),0)))</f>
        <v>0</v>
      </c>
      <c r="J61" s="121">
        <f>IF($A61&lt;$D$5+$D$4,(LOOKUP($A61,Cot_droits!$A$17:$A$68,Cot_droits!$H$17:$H$68)+LOOKUP($A61,Cot_droits!$A$17:$A$68,Cot_droits!$L$17:$L$68))/LOOKUP($A61,Barèmes!$A$65:$A$148,Barèmes!$C$65:$C$148),0)</f>
        <v>10307.574356237623</v>
      </c>
      <c r="L61" s="131">
        <f>IF($A61&lt;$D$5+$D$4,0,IF(AND($A61&gt;=$D$5,$A61&lt;=INT($D$8)-1+$D$4),LOOKUP($A61,Retraite!$A$7:$A$47,Retraite!$M$7:$M$47)/LOOKUP($A61,Barèmes!$A$65:$A$148,Barèmes!$C$65:$C$148),IF($A61=INT($D$8+$D$4),(LOOKUP($A61,Retraite!$A$7:$A$47,Retraite!$M$7:$M$47)/LOOKUP($A61,Barèmes!$A$65:$A$148,Barèmes!$C$65:$C$148))*(1-(INT($D$8)+1-$D$8)),0)))</f>
        <v>0</v>
      </c>
      <c r="M61" s="151">
        <f>IF($A61&lt;$D$5+$D$4,0,IF(AND($A61&gt;=$D$5,$A61&lt;=INT($D$8)-1+$D$4),LOOKUP($A61,Retraite!$A$7:$A$47,Retraite!$Q$7:$Q$47)/LOOKUP($A61,Barèmes!$A$65:$A$148,Barèmes!$C$65:$C$148),IF($A61=INT($D$8+$D$4),(LOOKUP($A61,Retraite!$A$7:$A$47,Retraite!$Q$7:$Q$47)/LOOKUP($A61,Barèmes!$A$65:$A$148,Barèmes!$C$65:$C$148))*(1-(INT($D$8)+1-$D$8)),0)))</f>
        <v>0</v>
      </c>
      <c r="N61" s="121">
        <f>IF($A61&lt;$D$5+$D$4,(LOOKUP($A61,Cot_droits!$A$17:$A$68,Cot_droits!$I$17:$I$68)+LOOKUP($A61,Cot_droits!$A$17:$A$68,Cot_droits!$J$17:$J$68)+LOOKUP($A61,Cot_droits!$A$17:$A$68,Cot_droits!$N$17:$N$68))/LOOKUP($A61,Barèmes!$A$65:$A$148,Barèmes!$C$65:$C$148),0)</f>
        <v>5821.0211463056867</v>
      </c>
      <c r="O61" s="115"/>
    </row>
    <row r="62" spans="1:15" s="43" customFormat="1" ht="15.75" customHeight="1" x14ac:dyDescent="0.25">
      <c r="A62" s="148">
        <f>TRI_prix!A56</f>
        <v>2061</v>
      </c>
      <c r="B62" s="121">
        <f>Cot_droits!C61/LOOKUP($A62,Barèmes!$A$65:$A$148,Barèmes!$C$65:$C$148)</f>
        <v>58825.762382358938</v>
      </c>
      <c r="C62" s="135"/>
      <c r="D62" s="131">
        <f>IF($A62&lt;$D$5+$D$4,0,IF(AND($A62&gt;=$D$5,$A62&lt;=INT($D$8)-1+$D$4),LOOKUP($A62,Retraite!$A$7:$A$47,Retraite!$K$7:$K$47)/LOOKUP($A62,Barèmes!$A$65:$A$148,Barèmes!$C$65:$C$148),IF($A62=INT($D$8+$D$4),(LOOKUP($A62,Retraite!$A$7:$A$47,Retraite!$K$7:$K$47)/LOOKUP($A62,Barèmes!$A$65:$A$148,Barèmes!$C$65:$C$148))*(1-(INT($D$8)+1-$D$8)),0)))</f>
        <v>0</v>
      </c>
      <c r="E62" s="151">
        <f>IF($A62&lt;$D$5+$D$4,0,IF(AND($A62&gt;=$D$5,$A62&lt;=INT($D$8)-1+$D$4),LOOKUP($A62,Retraite!$A$7:$A$47,Retraite!$N$7:$N$47)/LOOKUP($A62,Barèmes!$A$65:$A$148,Barèmes!$C$65:$C$148),IF($A62=INT($D$8+$D$4),(LOOKUP($A62,Retraite!$A$7:$A$47,Retraite!$N$7:$N$47)/LOOKUP($A62,Barèmes!$A$65:$A$148,Barèmes!$C$65:$C$148))*(1-(INT($D$8)+1-$D$8)),0)))</f>
        <v>0</v>
      </c>
      <c r="F62" s="121">
        <f>IF($A62&lt;$D$5+$D$4,LOOKUP($A62,Cot_droits!$A$17:$A$68,Cot_droits!$Q$17:$Q$68)/LOOKUP($A62,Barèmes!$A$65:$A$148,Barèmes!$C$65:$C$148),0)</f>
        <v>16338.267244076373</v>
      </c>
      <c r="G62" s="115"/>
      <c r="H62" s="131">
        <f>IF($A62&lt;$D$5+$D$4,0,IF(AND($A62&gt;=$D$5,$A62&lt;=INT($D$8)-1+$D$4),LOOKUP($A62,Retraite!$A$7:$A$47,Retraite!$L$7:$L$47)/LOOKUP($A62,Barèmes!$A$65:$A$148,Barèmes!$C$65:$C$148),IF($A62=INT($D$8+$D$4),(LOOKUP($A62,Retraite!$A$7:$A$47,Retraite!$L$7:$L$47)/LOOKUP($A62,Barèmes!$A$65:$A$148,Barèmes!$C$65:$C$148))*(1-(INT($D$8)+1-$D$8)),0)))</f>
        <v>0</v>
      </c>
      <c r="I62" s="151">
        <f>IF($A62&lt;$D$5+$D$4,0,IF(AND($A62&gt;=$D$5,$A62&lt;=INT($D$8)-1+$D$4),LOOKUP($A62,Retraite!$A$7:$A$47,Retraite!$P$7:$P$47)/LOOKUP($A62,Barèmes!$A$65:$A$148,Barèmes!$C$65:$C$148),IF($A62=INT($D$8+$D$4),(LOOKUP($A62,Retraite!$A$7:$A$47,Retraite!$P$7:$P$47)/LOOKUP($A62,Barèmes!$A$65:$A$148,Barèmes!$C$65:$C$148))*(1-(INT($D$8)+1-$D$8)),0)))</f>
        <v>0</v>
      </c>
      <c r="J62" s="121">
        <f>IF($A62&lt;$D$5+$D$4,(LOOKUP($A62,Cot_droits!$A$17:$A$68,Cot_droits!$H$17:$H$68)+LOOKUP($A62,Cot_droits!$A$17:$A$68,Cot_droits!$L$17:$L$68))/LOOKUP($A62,Barèmes!$A$65:$A$148,Barèmes!$C$65:$C$148),0)</f>
        <v>10441.572822868711</v>
      </c>
      <c r="L62" s="131">
        <f>IF($A62&lt;$D$5+$D$4,0,IF(AND($A62&gt;=$D$5,$A62&lt;=INT($D$8)-1+$D$4),LOOKUP($A62,Retraite!$A$7:$A$47,Retraite!$M$7:$M$47)/LOOKUP($A62,Barèmes!$A$65:$A$148,Barèmes!$C$65:$C$148),IF($A62=INT($D$8+$D$4),(LOOKUP($A62,Retraite!$A$7:$A$47,Retraite!$M$7:$M$47)/LOOKUP($A62,Barèmes!$A$65:$A$148,Barèmes!$C$65:$C$148))*(1-(INT($D$8)+1-$D$8)),0)))</f>
        <v>0</v>
      </c>
      <c r="M62" s="151">
        <f>IF($A62&lt;$D$5+$D$4,0,IF(AND($A62&gt;=$D$5,$A62&lt;=INT($D$8)-1+$D$4),LOOKUP($A62,Retraite!$A$7:$A$47,Retraite!$Q$7:$Q$47)/LOOKUP($A62,Barèmes!$A$65:$A$148,Barèmes!$C$65:$C$148),IF($A62=INT($D$8+$D$4),(LOOKUP($A62,Retraite!$A$7:$A$47,Retraite!$Q$7:$Q$47)/LOOKUP($A62,Barèmes!$A$65:$A$148,Barèmes!$C$65:$C$148))*(1-(INT($D$8)+1-$D$8)),0)))</f>
        <v>0</v>
      </c>
      <c r="N62" s="121">
        <f>IF($A62&lt;$D$5+$D$4,(LOOKUP($A62,Cot_droits!$A$17:$A$68,Cot_droits!$I$17:$I$68)+LOOKUP($A62,Cot_droits!$A$17:$A$68,Cot_droits!$J$17:$J$68)+LOOKUP($A62,Cot_droits!$A$17:$A$68,Cot_droits!$N$17:$N$68))/LOOKUP($A62,Barèmes!$A$65:$A$148,Barèmes!$C$65:$C$148),0)</f>
        <v>5896.6944212076605</v>
      </c>
      <c r="O62" s="115"/>
    </row>
    <row r="63" spans="1:15" s="43" customFormat="1" ht="15.75" customHeight="1" x14ac:dyDescent="0.25">
      <c r="A63" s="148">
        <f>TRI_prix!A57</f>
        <v>2062</v>
      </c>
      <c r="B63" s="121">
        <f>Cot_droits!C62/LOOKUP($A63,Barèmes!$A$65:$A$148,Barèmes!$C$65:$C$148)</f>
        <v>59590.497293329601</v>
      </c>
      <c r="C63" s="135"/>
      <c r="D63" s="131">
        <f>IF($A63&lt;$D$5+$D$4,0,IF(AND($A63&gt;=$D$5,$A63&lt;=INT($D$8)-1+$D$4),LOOKUP($A63,Retraite!$A$7:$A$47,Retraite!$K$7:$K$47)/LOOKUP($A63,Barèmes!$A$65:$A$148,Barèmes!$C$65:$C$148),IF($A63=INT($D$8+$D$4),(LOOKUP($A63,Retraite!$A$7:$A$47,Retraite!$K$7:$K$47)/LOOKUP($A63,Barèmes!$A$65:$A$148,Barèmes!$C$65:$C$148))*(1-(INT($D$8)+1-$D$8)),0)))</f>
        <v>0</v>
      </c>
      <c r="E63" s="151">
        <f>IF($A63&lt;$D$5+$D$4,0,IF(AND($A63&gt;=$D$5,$A63&lt;=INT($D$8)-1+$D$4),LOOKUP($A63,Retraite!$A$7:$A$47,Retraite!$N$7:$N$47)/LOOKUP($A63,Barèmes!$A$65:$A$148,Barèmes!$C$65:$C$148),IF($A63=INT($D$8+$D$4),(LOOKUP($A63,Retraite!$A$7:$A$47,Retraite!$N$7:$N$47)/LOOKUP($A63,Barèmes!$A$65:$A$148,Barèmes!$C$65:$C$148))*(1-(INT($D$8)+1-$D$8)),0)))</f>
        <v>0</v>
      </c>
      <c r="F63" s="121">
        <f>IF($A63&lt;$D$5+$D$4,LOOKUP($A63,Cot_droits!$A$17:$A$68,Cot_droits!$Q$17:$Q$68)/LOOKUP($A63,Barèmes!$A$65:$A$148,Barèmes!$C$65:$C$148),0)</f>
        <v>16550.664718249362</v>
      </c>
      <c r="G63" s="115"/>
      <c r="H63" s="131">
        <f>IF($A63&lt;$D$5+$D$4,0,IF(AND($A63&gt;=$D$5,$A63&lt;=INT($D$8)-1+$D$4),LOOKUP($A63,Retraite!$A$7:$A$47,Retraite!$L$7:$L$47)/LOOKUP($A63,Barèmes!$A$65:$A$148,Barèmes!$C$65:$C$148),IF($A63=INT($D$8+$D$4),(LOOKUP($A63,Retraite!$A$7:$A$47,Retraite!$L$7:$L$47)/LOOKUP($A63,Barèmes!$A$65:$A$148,Barèmes!$C$65:$C$148))*(1-(INT($D$8)+1-$D$8)),0)))</f>
        <v>0</v>
      </c>
      <c r="I63" s="151">
        <f>IF($A63&lt;$D$5+$D$4,0,IF(AND($A63&gt;=$D$5,$A63&lt;=INT($D$8)-1+$D$4),LOOKUP($A63,Retraite!$A$7:$A$47,Retraite!$P$7:$P$47)/LOOKUP($A63,Barèmes!$A$65:$A$148,Barèmes!$C$65:$C$148),IF($A63=INT($D$8+$D$4),(LOOKUP($A63,Retraite!$A$7:$A$47,Retraite!$P$7:$P$47)/LOOKUP($A63,Barèmes!$A$65:$A$148,Barèmes!$C$65:$C$148))*(1-(INT($D$8)+1-$D$8)),0)))</f>
        <v>0</v>
      </c>
      <c r="J63" s="121">
        <f>IF($A63&lt;$D$5+$D$4,(LOOKUP($A63,Cot_droits!$A$17:$A$68,Cot_droits!$H$17:$H$68)+LOOKUP($A63,Cot_droits!$A$17:$A$68,Cot_droits!$L$17:$L$68))/LOOKUP($A63,Barèmes!$A$65:$A$148,Barèmes!$C$65:$C$148),0)</f>
        <v>10577.313269566002</v>
      </c>
      <c r="L63" s="131">
        <f>IF($A63&lt;$D$5+$D$4,0,IF(AND($A63&gt;=$D$5,$A63&lt;=INT($D$8)-1+$D$4),LOOKUP($A63,Retraite!$A$7:$A$47,Retraite!$M$7:$M$47)/LOOKUP($A63,Barèmes!$A$65:$A$148,Barèmes!$C$65:$C$148),IF($A63=INT($D$8+$D$4),(LOOKUP($A63,Retraite!$A$7:$A$47,Retraite!$M$7:$M$47)/LOOKUP($A63,Barèmes!$A$65:$A$148,Barèmes!$C$65:$C$148))*(1-(INT($D$8)+1-$D$8)),0)))</f>
        <v>0</v>
      </c>
      <c r="M63" s="151">
        <f>IF($A63&lt;$D$5+$D$4,0,IF(AND($A63&gt;=$D$5,$A63&lt;=INT($D$8)-1+$D$4),LOOKUP($A63,Retraite!$A$7:$A$47,Retraite!$Q$7:$Q$47)/LOOKUP($A63,Barèmes!$A$65:$A$148,Barèmes!$C$65:$C$148),IF($A63=INT($D$8+$D$4),(LOOKUP($A63,Retraite!$A$7:$A$47,Retraite!$Q$7:$Q$47)/LOOKUP($A63,Barèmes!$A$65:$A$148,Barèmes!$C$65:$C$148))*(1-(INT($D$8)+1-$D$8)),0)))</f>
        <v>0</v>
      </c>
      <c r="N63" s="121">
        <f>IF($A63&lt;$D$5+$D$4,(LOOKUP($A63,Cot_droits!$A$17:$A$68,Cot_droits!$I$17:$I$68)+LOOKUP($A63,Cot_droits!$A$17:$A$68,Cot_droits!$J$17:$J$68)+LOOKUP($A63,Cot_droits!$A$17:$A$68,Cot_droits!$N$17:$N$68))/LOOKUP($A63,Barèmes!$A$65:$A$148,Barèmes!$C$65:$C$148),0)</f>
        <v>5973.3514486833592</v>
      </c>
      <c r="O63" s="115"/>
    </row>
    <row r="64" spans="1:15" s="43" customFormat="1" ht="15.75" customHeight="1" x14ac:dyDescent="0.25">
      <c r="A64" s="148">
        <f>TRI_prix!A58</f>
        <v>2063</v>
      </c>
      <c r="B64" s="121">
        <f>Cot_droits!C63/LOOKUP($A64,Barèmes!$A$65:$A$148,Barèmes!$C$65:$C$148)</f>
        <v>60365.173758142875</v>
      </c>
      <c r="C64" s="135"/>
      <c r="D64" s="131">
        <f>IF($A64&lt;$D$5+$D$4,0,IF(AND($A64&gt;=$D$5,$A64&lt;=INT($D$8)-1+$D$4),LOOKUP($A64,Retraite!$A$7:$A$47,Retraite!$K$7:$K$47)/LOOKUP($A64,Barèmes!$A$65:$A$148,Barèmes!$C$65:$C$148),IF($A64=INT($D$8+$D$4),(LOOKUP($A64,Retraite!$A$7:$A$47,Retraite!$K$7:$K$47)/LOOKUP($A64,Barèmes!$A$65:$A$148,Barèmes!$C$65:$C$148))*(1-(INT($D$8)+1-$D$8)),0)))</f>
        <v>0</v>
      </c>
      <c r="E64" s="151">
        <f>IF($A64&lt;$D$5+$D$4,0,IF(AND($A64&gt;=$D$5,$A64&lt;=INT($D$8)-1+$D$4),LOOKUP($A64,Retraite!$A$7:$A$47,Retraite!$N$7:$N$47)/LOOKUP($A64,Barèmes!$A$65:$A$148,Barèmes!$C$65:$C$148),IF($A64=INT($D$8+$D$4),(LOOKUP($A64,Retraite!$A$7:$A$47,Retraite!$N$7:$N$47)/LOOKUP($A64,Barèmes!$A$65:$A$148,Barèmes!$C$65:$C$148))*(1-(INT($D$8)+1-$D$8)),0)))</f>
        <v>0</v>
      </c>
      <c r="F64" s="121">
        <f>IF($A64&lt;$D$5+$D$4,LOOKUP($A64,Cot_droits!$A$17:$A$68,Cot_droits!$Q$17:$Q$68)/LOOKUP($A64,Barèmes!$A$65:$A$148,Barèmes!$C$65:$C$148),0)</f>
        <v>16765.8233595866</v>
      </c>
      <c r="G64" s="115"/>
      <c r="H64" s="131">
        <f>IF($A64&lt;$D$5+$D$4,0,IF(AND($A64&gt;=$D$5,$A64&lt;=INT($D$8)-1+$D$4),LOOKUP($A64,Retraite!$A$7:$A$47,Retraite!$L$7:$L$47)/LOOKUP($A64,Barèmes!$A$65:$A$148,Barèmes!$C$65:$C$148),IF($A64=INT($D$8+$D$4),(LOOKUP($A64,Retraite!$A$7:$A$47,Retraite!$L$7:$L$47)/LOOKUP($A64,Barèmes!$A$65:$A$148,Barèmes!$C$65:$C$148))*(1-(INT($D$8)+1-$D$8)),0)))</f>
        <v>0</v>
      </c>
      <c r="I64" s="151">
        <f>IF($A64&lt;$D$5+$D$4,0,IF(AND($A64&gt;=$D$5,$A64&lt;=INT($D$8)-1+$D$4),LOOKUP($A64,Retraite!$A$7:$A$47,Retraite!$P$7:$P$47)/LOOKUP($A64,Barèmes!$A$65:$A$148,Barèmes!$C$65:$C$148),IF($A64=INT($D$8+$D$4),(LOOKUP($A64,Retraite!$A$7:$A$47,Retraite!$P$7:$P$47)/LOOKUP($A64,Barèmes!$A$65:$A$148,Barèmes!$C$65:$C$148))*(1-(INT($D$8)+1-$D$8)),0)))</f>
        <v>0</v>
      </c>
      <c r="J64" s="121">
        <f>IF($A64&lt;$D$5+$D$4,(LOOKUP($A64,Cot_droits!$A$17:$A$68,Cot_droits!$H$17:$H$68)+LOOKUP($A64,Cot_droits!$A$17:$A$68,Cot_droits!$L$17:$L$68))/LOOKUP($A64,Barèmes!$A$65:$A$148,Barèmes!$C$65:$C$148),0)</f>
        <v>10714.818342070361</v>
      </c>
      <c r="L64" s="131">
        <f>IF($A64&lt;$D$5+$D$4,0,IF(AND($A64&gt;=$D$5,$A64&lt;=INT($D$8)-1+$D$4),LOOKUP($A64,Retraite!$A$7:$A$47,Retraite!$M$7:$M$47)/LOOKUP($A64,Barèmes!$A$65:$A$148,Barèmes!$C$65:$C$148),IF($A64=INT($D$8+$D$4),(LOOKUP($A64,Retraite!$A$7:$A$47,Retraite!$M$7:$M$47)/LOOKUP($A64,Barèmes!$A$65:$A$148,Barèmes!$C$65:$C$148))*(1-(INT($D$8)+1-$D$8)),0)))</f>
        <v>0</v>
      </c>
      <c r="M64" s="151">
        <f>IF($A64&lt;$D$5+$D$4,0,IF(AND($A64&gt;=$D$5,$A64&lt;=INT($D$8)-1+$D$4),LOOKUP($A64,Retraite!$A$7:$A$47,Retraite!$Q$7:$Q$47)/LOOKUP($A64,Barèmes!$A$65:$A$148,Barèmes!$C$65:$C$148),IF($A64=INT($D$8+$D$4),(LOOKUP($A64,Retraite!$A$7:$A$47,Retraite!$Q$7:$Q$47)/LOOKUP($A64,Barèmes!$A$65:$A$148,Barèmes!$C$65:$C$148))*(1-(INT($D$8)+1-$D$8)),0)))</f>
        <v>0</v>
      </c>
      <c r="N64" s="121">
        <f>IF($A64&lt;$D$5+$D$4,(LOOKUP($A64,Cot_droits!$A$17:$A$68,Cot_droits!$I$17:$I$68)+LOOKUP($A64,Cot_droits!$A$17:$A$68,Cot_droits!$J$17:$J$68)+LOOKUP($A64,Cot_droits!$A$17:$A$68,Cot_droits!$N$17:$N$68))/LOOKUP($A64,Barèmes!$A$65:$A$148,Barèmes!$C$65:$C$148),0)</f>
        <v>6051.0050175162414</v>
      </c>
      <c r="O64" s="115"/>
    </row>
    <row r="65" spans="1:15" s="43" customFormat="1" ht="15.75" customHeight="1" x14ac:dyDescent="0.25">
      <c r="A65" s="148">
        <f>TRI_prix!A59</f>
        <v>2064</v>
      </c>
      <c r="B65" s="121">
        <f>Cot_droits!C64/LOOKUP($A65,Barèmes!$A$65:$A$148,Barèmes!$C$65:$C$148)</f>
        <v>0</v>
      </c>
      <c r="C65" s="135"/>
      <c r="D65" s="131">
        <f ca="1">IF($A65&lt;$D$5+$D$4,0,IF(AND($A65&gt;=$D$5,$A65&lt;=INT($D$8)-1+$D$4),LOOKUP($A65,Retraite!$A$7:$A$47,Retraite!$K$7:$K$47)/LOOKUP($A65,Barèmes!$A$65:$A$148,Barèmes!$C$65:$C$148),IF($A65=INT($D$8+$D$4),(LOOKUP($A65,Retraite!$A$7:$A$47,Retraite!$K$7:$K$47)/LOOKUP($A65,Barèmes!$A$65:$A$148,Barèmes!$C$65:$C$148))*(1-(INT($D$8)+1-$D$8)),0)))</f>
        <v>33014.844678434129</v>
      </c>
      <c r="E65" s="151">
        <f ca="1">IF($A65&lt;$D$5+$D$4,0,IF(AND($A65&gt;=$D$5,$A65&lt;=INT($D$8)-1+$D$4),LOOKUP($A65,Retraite!$A$7:$A$47,Retraite!$N$7:$N$47)/LOOKUP($A65,Barèmes!$A$65:$A$148,Barèmes!$C$65:$C$148),IF($A65=INT($D$8+$D$4),(LOOKUP($A65,Retraite!$A$7:$A$47,Retraite!$N$7:$N$47)/LOOKUP($A65,Barèmes!$A$65:$A$148,Barèmes!$C$65:$C$148))*(1-(INT($D$8)+1-$D$8)),0)))</f>
        <v>29941.40135942417</v>
      </c>
      <c r="F65" s="121">
        <f>IF($A65&lt;$D$5+$D$4,LOOKUP($A65,Cot_droits!$A$17:$A$68,Cot_droits!$Q$17:$Q$68)/LOOKUP($A65,Barèmes!$A$65:$A$148,Barèmes!$C$65:$C$148),0)</f>
        <v>0</v>
      </c>
      <c r="G65" s="115"/>
      <c r="H65" s="131">
        <f>IF($A65&lt;$D$5+$D$4,0,IF(AND($A65&gt;=$D$5,$A65&lt;=INT($D$8)-1+$D$4),LOOKUP($A65,Retraite!$A$7:$A$47,Retraite!$L$7:$L$47)/LOOKUP($A65,Barèmes!$A$65:$A$148,Barèmes!$C$65:$C$148),IF($A65=INT($D$8+$D$4),(LOOKUP($A65,Retraite!$A$7:$A$47,Retraite!$L$7:$L$47)/LOOKUP($A65,Barèmes!$A$65:$A$148,Barèmes!$C$65:$C$148))*(1-(INT($D$8)+1-$D$8)),0)))</f>
        <v>26105.599351188557</v>
      </c>
      <c r="I65" s="151">
        <f ca="1">IF($A65&lt;$D$5+$D$4,0,IF(AND($A65&gt;=$D$5,$A65&lt;=INT($D$8)-1+$D$4),LOOKUP($A65,Retraite!$A$7:$A$47,Retraite!$P$7:$P$47)/LOOKUP($A65,Barèmes!$A$65:$A$148,Barèmes!$C$65:$C$148),IF($A65=INT($D$8+$D$4),(LOOKUP($A65,Retraite!$A$7:$A$47,Retraite!$P$7:$P$47)/LOOKUP($A65,Barèmes!$A$65:$A$148,Barèmes!$C$65:$C$148))*(1-(INT($D$8)+1-$D$8)),0)))</f>
        <v>23729.989810230403</v>
      </c>
      <c r="J65" s="121">
        <f>IF($A65&lt;$D$5+$D$4,(LOOKUP($A65,Cot_droits!$A$17:$A$68,Cot_droits!$H$17:$H$68)+LOOKUP($A65,Cot_droits!$A$17:$A$68,Cot_droits!$L$17:$L$68))/LOOKUP($A65,Barèmes!$A$65:$A$148,Barèmes!$C$65:$C$148),0)</f>
        <v>0</v>
      </c>
      <c r="L65" s="131">
        <f ca="1">IF($A65&lt;$D$5+$D$4,0,IF(AND($A65&gt;=$D$5,$A65&lt;=INT($D$8)-1+$D$4),LOOKUP($A65,Retraite!$A$7:$A$47,Retraite!$M$7:$M$47)/LOOKUP($A65,Barèmes!$A$65:$A$148,Barèmes!$C$65:$C$148),IF($A65=INT($D$8+$D$4),(LOOKUP($A65,Retraite!$A$7:$A$47,Retraite!$M$7:$M$47)/LOOKUP($A65,Barèmes!$A$65:$A$148,Barèmes!$C$65:$C$148))*(1-(INT($D$8)+1-$D$8)),0)))</f>
        <v>6909.2453272455723</v>
      </c>
      <c r="M65" s="151">
        <f ca="1">IF($A65&lt;$D$5+$D$4,0,IF(AND($A65&gt;=$D$5,$A65&lt;=INT($D$8)-1+$D$4),LOOKUP($A65,Retraite!$A$7:$A$47,Retraite!$Q$7:$Q$47)/LOOKUP($A65,Barèmes!$A$65:$A$148,Barèmes!$C$65:$C$148),IF($A65=INT($D$8+$D$4),(LOOKUP($A65,Retraite!$A$7:$A$47,Retraite!$Q$7:$Q$47)/LOOKUP($A65,Barèmes!$A$65:$A$148,Barèmes!$C$65:$C$148))*(1-(INT($D$8)+1-$D$8)),0)))</f>
        <v>6211.41154919377</v>
      </c>
      <c r="N65" s="121">
        <f>IF($A65&lt;$D$5+$D$4,(LOOKUP($A65,Cot_droits!$A$17:$A$68,Cot_droits!$I$17:$I$68)+LOOKUP($A65,Cot_droits!$A$17:$A$68,Cot_droits!$J$17:$J$68)+LOOKUP($A65,Cot_droits!$A$17:$A$68,Cot_droits!$N$17:$N$68))/LOOKUP($A65,Barèmes!$A$65:$A$148,Barèmes!$C$65:$C$148),0)</f>
        <v>0</v>
      </c>
      <c r="O65" s="115"/>
    </row>
    <row r="66" spans="1:15" s="43" customFormat="1" ht="15.75" customHeight="1" x14ac:dyDescent="0.25">
      <c r="A66" s="148">
        <f>TRI_prix!A60</f>
        <v>2065</v>
      </c>
      <c r="B66" s="121">
        <f>Cot_droits!C65/LOOKUP($A66,Barèmes!$A$65:$A$148,Barèmes!$C$65:$C$148)</f>
        <v>0</v>
      </c>
      <c r="C66" s="135"/>
      <c r="D66" s="131">
        <f ca="1">IF($A66&lt;$D$5+$D$4,0,IF(AND($A66&gt;=$D$5,$A66&lt;=INT($D$8)-1+$D$4),LOOKUP($A66,Retraite!$A$7:$A$47,Retraite!$K$7:$K$47)/LOOKUP($A66,Barèmes!$A$65:$A$148,Barèmes!$C$65:$C$148),IF($A66=INT($D$8+$D$4),(LOOKUP($A66,Retraite!$A$7:$A$47,Retraite!$K$7:$K$47)/LOOKUP($A66,Barèmes!$A$65:$A$148,Barèmes!$C$65:$C$148))*(1-(INT($D$8)+1-$D$8)),0)))</f>
        <v>33026.067944716859</v>
      </c>
      <c r="E66" s="151">
        <f ca="1">IF($A66&lt;$D$5+$D$4,0,IF(AND($A66&gt;=$D$5,$A66&lt;=INT($D$8)-1+$D$4),LOOKUP($A66,Retraite!$A$7:$A$47,Retraite!$N$7:$N$47)/LOOKUP($A66,Barèmes!$A$65:$A$148,Barèmes!$C$65:$C$148),IF($A66=INT($D$8+$D$4),(LOOKUP($A66,Retraite!$A$7:$A$47,Retraite!$N$7:$N$47)/LOOKUP($A66,Barèmes!$A$65:$A$148,Barèmes!$C$65:$C$148))*(1-(INT($D$8)+1-$D$8)),0)))</f>
        <v>29951.491075812341</v>
      </c>
      <c r="F66" s="121">
        <f>IF($A66&lt;$D$5+$D$4,LOOKUP($A66,Cot_droits!$A$17:$A$68,Cot_droits!$Q$17:$Q$68)/LOOKUP($A66,Barèmes!$A$65:$A$148,Barèmes!$C$65:$C$148),0)</f>
        <v>0</v>
      </c>
      <c r="G66" s="115"/>
      <c r="H66" s="131">
        <f>IF($A66&lt;$D$5+$D$4,0,IF(AND($A66&gt;=$D$5,$A66&lt;=INT($D$8)-1+$D$4),LOOKUP($A66,Retraite!$A$7:$A$47,Retraite!$L$7:$L$47)/LOOKUP($A66,Barèmes!$A$65:$A$148,Barèmes!$C$65:$C$148),IF($A66=INT($D$8+$D$4),(LOOKUP($A66,Retraite!$A$7:$A$47,Retraite!$L$7:$L$47)/LOOKUP($A66,Barèmes!$A$65:$A$148,Barèmes!$C$65:$C$148))*(1-(INT($D$8)+1-$D$8)),0)))</f>
        <v>26105.599351188557</v>
      </c>
      <c r="I66" s="151">
        <f ca="1">IF($A66&lt;$D$5+$D$4,0,IF(AND($A66&gt;=$D$5,$A66&lt;=INT($D$8)-1+$D$4),LOOKUP($A66,Retraite!$A$7:$A$47,Retraite!$P$7:$P$47)/LOOKUP($A66,Barèmes!$A$65:$A$148,Barèmes!$C$65:$C$148),IF($A66=INT($D$8+$D$4),(LOOKUP($A66,Retraite!$A$7:$A$47,Retraite!$P$7:$P$47)/LOOKUP($A66,Barèmes!$A$65:$A$148,Barèmes!$C$65:$C$148))*(1-(INT($D$8)+1-$D$8)),0)))</f>
        <v>23729.989810230396</v>
      </c>
      <c r="J66" s="121">
        <f>IF($A66&lt;$D$5+$D$4,(LOOKUP($A66,Cot_droits!$A$17:$A$68,Cot_droits!$H$17:$H$68)+LOOKUP($A66,Cot_droits!$A$17:$A$68,Cot_droits!$L$17:$L$68))/LOOKUP($A66,Barèmes!$A$65:$A$148,Barèmes!$C$65:$C$148),0)</f>
        <v>0</v>
      </c>
      <c r="L66" s="131">
        <f ca="1">IF($A66&lt;$D$5+$D$4,0,IF(AND($A66&gt;=$D$5,$A66&lt;=INT($D$8)-1+$D$4),LOOKUP($A66,Retraite!$A$7:$A$47,Retraite!$M$7:$M$47)/LOOKUP($A66,Barèmes!$A$65:$A$148,Barèmes!$C$65:$C$148),IF($A66=INT($D$8+$D$4),(LOOKUP($A66,Retraite!$A$7:$A$47,Retraite!$M$7:$M$47)/LOOKUP($A66,Barèmes!$A$65:$A$148,Barèmes!$C$65:$C$148))*(1-(INT($D$8)+1-$D$8)),0)))</f>
        <v>6920.4685935283023</v>
      </c>
      <c r="M66" s="151">
        <f ca="1">IF($A66&lt;$D$5+$D$4,0,IF(AND($A66&gt;=$D$5,$A66&lt;=INT($D$8)-1+$D$4),LOOKUP($A66,Retraite!$A$7:$A$47,Retraite!$Q$7:$Q$47)/LOOKUP($A66,Barèmes!$A$65:$A$148,Barèmes!$C$65:$C$148),IF($A66=INT($D$8+$D$4),(LOOKUP($A66,Retraite!$A$7:$A$47,Retraite!$Q$7:$Q$47)/LOOKUP($A66,Barèmes!$A$65:$A$148,Barèmes!$C$65:$C$148))*(1-(INT($D$8)+1-$D$8)),0)))</f>
        <v>6221.5012655819437</v>
      </c>
      <c r="N66" s="121">
        <f>IF($A66&lt;$D$5+$D$4,(LOOKUP($A66,Cot_droits!$A$17:$A$68,Cot_droits!$I$17:$I$68)+LOOKUP($A66,Cot_droits!$A$17:$A$68,Cot_droits!$J$17:$J$68)+LOOKUP($A66,Cot_droits!$A$17:$A$68,Cot_droits!$N$17:$N$68))/LOOKUP($A66,Barèmes!$A$65:$A$148,Barèmes!$C$65:$C$148),0)</f>
        <v>0</v>
      </c>
      <c r="O66" s="115"/>
    </row>
    <row r="67" spans="1:15" s="43" customFormat="1" ht="15.75" customHeight="1" x14ac:dyDescent="0.25">
      <c r="A67" s="148">
        <f>TRI_prix!A61</f>
        <v>2066</v>
      </c>
      <c r="B67" s="121">
        <f>Cot_droits!C66/LOOKUP($A67,Barèmes!$A$65:$A$148,Barèmes!$C$65:$C$148)</f>
        <v>0</v>
      </c>
      <c r="C67" s="135"/>
      <c r="D67" s="131">
        <f ca="1">IF($A67&lt;$D$5+$D$4,0,IF(AND($A67&gt;=$D$5,$A67&lt;=INT($D$8)-1+$D$4),LOOKUP($A67,Retraite!$A$7:$A$47,Retraite!$K$7:$K$47)/LOOKUP($A67,Barèmes!$A$65:$A$148,Barèmes!$C$65:$C$148),IF($A67=INT($D$8+$D$4),(LOOKUP($A67,Retraite!$A$7:$A$47,Retraite!$K$7:$K$47)/LOOKUP($A67,Barèmes!$A$65:$A$148,Barèmes!$C$65:$C$148))*(1-(INT($D$8)+1-$D$8)),0)))</f>
        <v>33037.291822351741</v>
      </c>
      <c r="E67" s="151">
        <f ca="1">IF($A67&lt;$D$5+$D$4,0,IF(AND($A67&gt;=$D$5,$A67&lt;=INT($D$8)-1+$D$4),LOOKUP($A67,Retraite!$A$7:$A$47,Retraite!$N$7:$N$47)/LOOKUP($A67,Barèmes!$A$65:$A$148,Barèmes!$C$65:$C$148),IF($A67=INT($D$8+$D$4),(LOOKUP($A67,Retraite!$A$7:$A$47,Retraite!$N$7:$N$47)/LOOKUP($A67,Barèmes!$A$65:$A$148,Barèmes!$C$65:$C$148))*(1-(INT($D$8)+1-$D$8)),0)))</f>
        <v>29961.581341806097</v>
      </c>
      <c r="F67" s="121">
        <f>IF($A67&lt;$D$5+$D$4,LOOKUP($A67,Cot_droits!$A$17:$A$68,Cot_droits!$Q$17:$Q$68)/LOOKUP($A67,Barèmes!$A$65:$A$148,Barèmes!$C$65:$C$148),0)</f>
        <v>0</v>
      </c>
      <c r="G67" s="115"/>
      <c r="H67" s="131">
        <f>IF($A67&lt;$D$5+$D$4,0,IF(AND($A67&gt;=$D$5,$A67&lt;=INT($D$8)-1+$D$4),LOOKUP($A67,Retraite!$A$7:$A$47,Retraite!$L$7:$L$47)/LOOKUP($A67,Barèmes!$A$65:$A$148,Barèmes!$C$65:$C$148),IF($A67=INT($D$8+$D$4),(LOOKUP($A67,Retraite!$A$7:$A$47,Retraite!$L$7:$L$47)/LOOKUP($A67,Barèmes!$A$65:$A$148,Barèmes!$C$65:$C$148))*(1-(INT($D$8)+1-$D$8)),0)))</f>
        <v>26105.599351188557</v>
      </c>
      <c r="I67" s="151">
        <f ca="1">IF($A67&lt;$D$5+$D$4,0,IF(AND($A67&gt;=$D$5,$A67&lt;=INT($D$8)-1+$D$4),LOOKUP($A67,Retraite!$A$7:$A$47,Retraite!$P$7:$P$47)/LOOKUP($A67,Barèmes!$A$65:$A$148,Barèmes!$C$65:$C$148),IF($A67=INT($D$8+$D$4),(LOOKUP($A67,Retraite!$A$7:$A$47,Retraite!$P$7:$P$47)/LOOKUP($A67,Barèmes!$A$65:$A$148,Barèmes!$C$65:$C$148))*(1-(INT($D$8)+1-$D$8)),0)))</f>
        <v>23729.9898102304</v>
      </c>
      <c r="J67" s="121">
        <f>IF($A67&lt;$D$5+$D$4,(LOOKUP($A67,Cot_droits!$A$17:$A$68,Cot_droits!$H$17:$H$68)+LOOKUP($A67,Cot_droits!$A$17:$A$68,Cot_droits!$L$17:$L$68))/LOOKUP($A67,Barèmes!$A$65:$A$148,Barèmes!$C$65:$C$148),0)</f>
        <v>0</v>
      </c>
      <c r="L67" s="131">
        <f ca="1">IF($A67&lt;$D$5+$D$4,0,IF(AND($A67&gt;=$D$5,$A67&lt;=INT($D$8)-1+$D$4),LOOKUP($A67,Retraite!$A$7:$A$47,Retraite!$M$7:$M$47)/LOOKUP($A67,Barèmes!$A$65:$A$148,Barèmes!$C$65:$C$148),IF($A67=INT($D$8+$D$4),(LOOKUP($A67,Retraite!$A$7:$A$47,Retraite!$M$7:$M$47)/LOOKUP($A67,Barèmes!$A$65:$A$148,Barèmes!$C$65:$C$148))*(1-(INT($D$8)+1-$D$8)),0)))</f>
        <v>6931.6924711631827</v>
      </c>
      <c r="M67" s="151">
        <f ca="1">IF($A67&lt;$D$5+$D$4,0,IF(AND($A67&gt;=$D$5,$A67&lt;=INT($D$8)-1+$D$4),LOOKUP($A67,Retraite!$A$7:$A$47,Retraite!$Q$7:$Q$47)/LOOKUP($A67,Barèmes!$A$65:$A$148,Barèmes!$C$65:$C$148),IF($A67=INT($D$8+$D$4),(LOOKUP($A67,Retraite!$A$7:$A$47,Retraite!$Q$7:$Q$47)/LOOKUP($A67,Barèmes!$A$65:$A$148,Barèmes!$C$65:$C$148))*(1-(INT($D$8)+1-$D$8)),0)))</f>
        <v>6231.5915315757011</v>
      </c>
      <c r="N67" s="121">
        <f>IF($A67&lt;$D$5+$D$4,(LOOKUP($A67,Cot_droits!$A$17:$A$68,Cot_droits!$I$17:$I$68)+LOOKUP($A67,Cot_droits!$A$17:$A$68,Cot_droits!$J$17:$J$68)+LOOKUP($A67,Cot_droits!$A$17:$A$68,Cot_droits!$N$17:$N$68))/LOOKUP($A67,Barèmes!$A$65:$A$148,Barèmes!$C$65:$C$148),0)</f>
        <v>0</v>
      </c>
      <c r="O67" s="115"/>
    </row>
    <row r="68" spans="1:15" s="43" customFormat="1" ht="15.75" customHeight="1" x14ac:dyDescent="0.25">
      <c r="A68" s="148">
        <f>TRI_prix!A62</f>
        <v>2067</v>
      </c>
      <c r="B68" s="121">
        <f>Cot_droits!C67/LOOKUP($A68,Barèmes!$A$65:$A$148,Barèmes!$C$65:$C$148)</f>
        <v>0</v>
      </c>
      <c r="C68" s="135"/>
      <c r="D68" s="131">
        <f ca="1">IF($A68&lt;$D$5+$D$4,0,IF(AND($A68&gt;=$D$5,$A68&lt;=INT($D$8)-1+$D$4),LOOKUP($A68,Retraite!$A$7:$A$47,Retraite!$K$7:$K$47)/LOOKUP($A68,Barèmes!$A$65:$A$148,Barèmes!$C$65:$C$148),IF($A68=INT($D$8+$D$4),(LOOKUP($A68,Retraite!$A$7:$A$47,Retraite!$K$7:$K$47)/LOOKUP($A68,Barèmes!$A$65:$A$148,Barèmes!$C$65:$C$148))*(1-(INT($D$8)+1-$D$8)),0)))</f>
        <v>33820.075408265315</v>
      </c>
      <c r="E68" s="151">
        <f ca="1">IF($A68&lt;$D$5+$D$4,0,IF(AND($A68&gt;=$D$5,$A68&lt;=INT($D$8)-1+$D$4),LOOKUP($A68,Retraite!$A$7:$A$47,Retraite!$N$7:$N$47)/LOOKUP($A68,Barèmes!$A$65:$A$148,Barèmes!$C$65:$C$148),IF($A68=INT($D$8+$D$4),(LOOKUP($A68,Retraite!$A$7:$A$47,Retraite!$N$7:$N$47)/LOOKUP($A68,Barèmes!$A$65:$A$148,Barèmes!$C$65:$C$148))*(1-(INT($D$8)+1-$D$8)),0)))</f>
        <v>30665.303785542405</v>
      </c>
      <c r="F68" s="121">
        <f>IF($A68&lt;$D$5+$D$4,LOOKUP($A68,Cot_droits!$A$17:$A$68,Cot_droits!$Q$17:$Q$68)/LOOKUP($A68,Barèmes!$A$65:$A$148,Barèmes!$C$65:$C$148),0)</f>
        <v>0</v>
      </c>
      <c r="G68" s="115"/>
      <c r="H68" s="131">
        <f>IF($A68&lt;$D$5+$D$4,0,IF(AND($A68&gt;=$D$5,$A68&lt;=INT($D$8)-1+$D$4),LOOKUP($A68,Retraite!$A$7:$A$47,Retraite!$L$7:$L$47)/LOOKUP($A68,Barèmes!$A$65:$A$148,Barèmes!$C$65:$C$148),IF($A68=INT($D$8+$D$4),(LOOKUP($A68,Retraite!$A$7:$A$47,Retraite!$L$7:$L$47)/LOOKUP($A68,Barèmes!$A$65:$A$148,Barèmes!$C$65:$C$148))*(1-(INT($D$8)+1-$D$8)),0)))</f>
        <v>26105.599351188561</v>
      </c>
      <c r="I68" s="151">
        <f ca="1">IF($A68&lt;$D$5+$D$4,0,IF(AND($A68&gt;=$D$5,$A68&lt;=INT($D$8)-1+$D$4),LOOKUP($A68,Retraite!$A$7:$A$47,Retraite!$P$7:$P$47)/LOOKUP($A68,Barèmes!$A$65:$A$148,Barèmes!$C$65:$C$148),IF($A68=INT($D$8+$D$4),(LOOKUP($A68,Retraite!$A$7:$A$47,Retraite!$P$7:$P$47)/LOOKUP($A68,Barèmes!$A$65:$A$148,Barèmes!$C$65:$C$148))*(1-(INT($D$8)+1-$D$8)),0)))</f>
        <v>23729.989810230403</v>
      </c>
      <c r="J68" s="121">
        <f>IF($A68&lt;$D$5+$D$4,(LOOKUP($A68,Cot_droits!$A$17:$A$68,Cot_droits!$H$17:$H$68)+LOOKUP($A68,Cot_droits!$A$17:$A$68,Cot_droits!$L$17:$L$68))/LOOKUP($A68,Barèmes!$A$65:$A$148,Barèmes!$C$65:$C$148),0)</f>
        <v>0</v>
      </c>
      <c r="L68" s="131">
        <f ca="1">IF($A68&lt;$D$5+$D$4,0,IF(AND($A68&gt;=$D$5,$A68&lt;=INT($D$8)-1+$D$4),LOOKUP($A68,Retraite!$A$7:$A$47,Retraite!$M$7:$M$47)/LOOKUP($A68,Barèmes!$A$65:$A$148,Barèmes!$C$65:$C$148),IF($A68=INT($D$8+$D$4),(LOOKUP($A68,Retraite!$A$7:$A$47,Retraite!$M$7:$M$47)/LOOKUP($A68,Barèmes!$A$65:$A$148,Barèmes!$C$65:$C$148))*(1-(INT($D$8)+1-$D$8)),0)))</f>
        <v>7714.4760570767558</v>
      </c>
      <c r="M68" s="151">
        <f ca="1">IF($A68&lt;$D$5+$D$4,0,IF(AND($A68&gt;=$D$5,$A68&lt;=INT($D$8)-1+$D$4),LOOKUP($A68,Retraite!$A$7:$A$47,Retraite!$Q$7:$Q$47)/LOOKUP($A68,Barèmes!$A$65:$A$148,Barèmes!$C$65:$C$148),IF($A68=INT($D$8+$D$4),(LOOKUP($A68,Retraite!$A$7:$A$47,Retraite!$Q$7:$Q$47)/LOOKUP($A68,Barèmes!$A$65:$A$148,Barèmes!$C$65:$C$148))*(1-(INT($D$8)+1-$D$8)),0)))</f>
        <v>6935.313975312004</v>
      </c>
      <c r="N68" s="121">
        <f>IF($A68&lt;$D$5+$D$4,(LOOKUP($A68,Cot_droits!$A$17:$A$68,Cot_droits!$I$17:$I$68)+LOOKUP($A68,Cot_droits!$A$17:$A$68,Cot_droits!$J$17:$J$68)+LOOKUP($A68,Cot_droits!$A$17:$A$68,Cot_droits!$N$17:$N$68))/LOOKUP($A68,Barèmes!$A$65:$A$148,Barèmes!$C$65:$C$148),0)</f>
        <v>0</v>
      </c>
      <c r="O68" s="115"/>
    </row>
    <row r="69" spans="1:15" s="43" customFormat="1" ht="15.75" customHeight="1" x14ac:dyDescent="0.25">
      <c r="A69" s="148">
        <f>TRI_prix!A63</f>
        <v>2068</v>
      </c>
      <c r="B69" s="121">
        <f>Cot_droits!C68/LOOKUP($A69,Barèmes!$A$65:$A$148,Barèmes!$C$65:$C$148)</f>
        <v>0</v>
      </c>
      <c r="C69" s="135"/>
      <c r="D69" s="131">
        <f ca="1">IF($A69&lt;$D$5+$D$4,0,IF(AND($A69&gt;=$D$5,$A69&lt;=INT($D$8)-1+$D$4),LOOKUP($A69,Retraite!$A$7:$A$47,Retraite!$K$7:$K$47)/LOOKUP($A69,Barèmes!$A$65:$A$148,Barèmes!$C$65:$C$148),IF($A69=INT($D$8+$D$4),(LOOKUP($A69,Retraite!$A$7:$A$47,Retraite!$K$7:$K$47)/LOOKUP($A69,Barèmes!$A$65:$A$148,Barèmes!$C$65:$C$148))*(1-(INT($D$8)+1-$D$8)),0)))</f>
        <v>33832.567841675496</v>
      </c>
      <c r="E69" s="151">
        <f ca="1">IF($A69&lt;$D$5+$D$4,0,IF(AND($A69&gt;=$D$5,$A69&lt;=INT($D$8)-1+$D$4),LOOKUP($A69,Retraite!$A$7:$A$47,Retraite!$N$7:$N$47)/LOOKUP($A69,Barèmes!$A$65:$A$148,Barèmes!$C$65:$C$148),IF($A69=INT($D$8+$D$4),(LOOKUP($A69,Retraite!$A$7:$A$47,Retraite!$N$7:$N$47)/LOOKUP($A69,Barèmes!$A$65:$A$148,Barèmes!$C$65:$C$148))*(1-(INT($D$8)+1-$D$8)),0)))</f>
        <v>30676.534483178155</v>
      </c>
      <c r="F69" s="121">
        <f>IF($A69&lt;$D$5+$D$4,LOOKUP($A69,Cot_droits!$A$17:$A$68,Cot_droits!$Q$17:$Q$68)/LOOKUP($A69,Barèmes!$A$65:$A$148,Barèmes!$C$65:$C$148),0)</f>
        <v>0</v>
      </c>
      <c r="G69" s="115"/>
      <c r="H69" s="131">
        <f>IF($A69&lt;$D$5+$D$4,0,IF(AND($A69&gt;=$D$5,$A69&lt;=INT($D$8)-1+$D$4),LOOKUP($A69,Retraite!$A$7:$A$47,Retraite!$L$7:$L$47)/LOOKUP($A69,Barèmes!$A$65:$A$148,Barèmes!$C$65:$C$148),IF($A69=INT($D$8+$D$4),(LOOKUP($A69,Retraite!$A$7:$A$47,Retraite!$L$7:$L$47)/LOOKUP($A69,Barèmes!$A$65:$A$148,Barèmes!$C$65:$C$148))*(1-(INT($D$8)+1-$D$8)),0)))</f>
        <v>26105.599351188557</v>
      </c>
      <c r="I69" s="151">
        <f ca="1">IF($A69&lt;$D$5+$D$4,0,IF(AND($A69&gt;=$D$5,$A69&lt;=INT($D$8)-1+$D$4),LOOKUP($A69,Retraite!$A$7:$A$47,Retraite!$P$7:$P$47)/LOOKUP($A69,Barèmes!$A$65:$A$148,Barèmes!$C$65:$C$148),IF($A69=INT($D$8+$D$4),(LOOKUP($A69,Retraite!$A$7:$A$47,Retraite!$P$7:$P$47)/LOOKUP($A69,Barèmes!$A$65:$A$148,Barèmes!$C$65:$C$148))*(1-(INT($D$8)+1-$D$8)),0)))</f>
        <v>23729.9898102304</v>
      </c>
      <c r="J69" s="121">
        <f>IF($A69&lt;$D$5+$D$4,(LOOKUP($A69,Cot_droits!$A$17:$A$68,Cot_droits!$H$17:$H$68)+LOOKUP($A69,Cot_droits!$A$17:$A$68,Cot_droits!$L$17:$L$68))/LOOKUP($A69,Barèmes!$A$65:$A$148,Barèmes!$C$65:$C$148),0)</f>
        <v>0</v>
      </c>
      <c r="L69" s="131">
        <f ca="1">IF($A69&lt;$D$5+$D$4,0,IF(AND($A69&gt;=$D$5,$A69&lt;=INT($D$8)-1+$D$4),LOOKUP($A69,Retraite!$A$7:$A$47,Retraite!$M$7:$M$47)/LOOKUP($A69,Barèmes!$A$65:$A$148,Barèmes!$C$65:$C$148),IF($A69=INT($D$8+$D$4),(LOOKUP($A69,Retraite!$A$7:$A$47,Retraite!$M$7:$M$47)/LOOKUP($A69,Barèmes!$A$65:$A$148,Barèmes!$C$65:$C$148))*(1-(INT($D$8)+1-$D$8)),0)))</f>
        <v>7726.9684904869355</v>
      </c>
      <c r="M69" s="151">
        <f ca="1">IF($A69&lt;$D$5+$D$4,0,IF(AND($A69&gt;=$D$5,$A69&lt;=INT($D$8)-1+$D$4),LOOKUP($A69,Retraite!$A$7:$A$47,Retraite!$Q$7:$Q$47)/LOOKUP($A69,Barèmes!$A$65:$A$148,Barèmes!$C$65:$C$148),IF($A69=INT($D$8+$D$4),(LOOKUP($A69,Retraite!$A$7:$A$47,Retraite!$Q$7:$Q$47)/LOOKUP($A69,Barèmes!$A$65:$A$148,Barèmes!$C$65:$C$148))*(1-(INT($D$8)+1-$D$8)),0)))</f>
        <v>6946.5446729477553</v>
      </c>
      <c r="N69" s="121">
        <f>IF($A69&lt;$D$5+$D$4,(LOOKUP($A69,Cot_droits!$A$17:$A$68,Cot_droits!$I$17:$I$68)+LOOKUP($A69,Cot_droits!$A$17:$A$68,Cot_droits!$J$17:$J$68)+LOOKUP($A69,Cot_droits!$A$17:$A$68,Cot_droits!$N$17:$N$68))/LOOKUP($A69,Barèmes!$A$65:$A$148,Barèmes!$C$65:$C$148),0)</f>
        <v>0</v>
      </c>
      <c r="O69" s="115"/>
    </row>
    <row r="70" spans="1:15" s="43" customFormat="1" ht="15.75" customHeight="1" x14ac:dyDescent="0.25">
      <c r="A70" s="148">
        <f>TRI_prix!A64</f>
        <v>2069</v>
      </c>
      <c r="B70" s="121">
        <f>Cot_droits!C69/LOOKUP($A70,Barèmes!$A$65:$A$148,Barèmes!$C$65:$C$148)</f>
        <v>0</v>
      </c>
      <c r="C70" s="135"/>
      <c r="D70" s="131">
        <f ca="1">IF($A70&lt;$D$5+$D$4,0,IF(AND($A70&gt;=$D$5,$A70&lt;=INT($D$8)-1+$D$4),LOOKUP($A70,Retraite!$A$7:$A$47,Retraite!$K$7:$K$47)/LOOKUP($A70,Barèmes!$A$65:$A$148,Barèmes!$C$65:$C$148),IF($A70=INT($D$8+$D$4),(LOOKUP($A70,Retraite!$A$7:$A$47,Retraite!$K$7:$K$47)/LOOKUP($A70,Barèmes!$A$65:$A$148,Barèmes!$C$65:$C$148))*(1-(INT($D$8)+1-$D$8)),0)))</f>
        <v>33845.122261304656</v>
      </c>
      <c r="E70" s="151">
        <f ca="1">IF($A70&lt;$D$5+$D$4,0,IF(AND($A70&gt;=$D$5,$A70&lt;=INT($D$8)-1+$D$4),LOOKUP($A70,Retraite!$A$7:$A$47,Retraite!$N$7:$N$47)/LOOKUP($A70,Barèmes!$A$65:$A$148,Barèmes!$C$65:$C$148),IF($A70=INT($D$8+$D$4),(LOOKUP($A70,Retraite!$A$7:$A$47,Retraite!$N$7:$N$47)/LOOKUP($A70,Barèmes!$A$65:$A$148,Barèmes!$C$65:$C$148))*(1-(INT($D$8)+1-$D$8)),0)))</f>
        <v>30687.820906424775</v>
      </c>
      <c r="F70" s="121">
        <f>IF($A70&lt;$D$5+$D$4,LOOKUP($A70,Cot_droits!$A$17:$A$68,Cot_droits!$Q$17:$Q$68)/LOOKUP($A70,Barèmes!$A$65:$A$148,Barèmes!$C$65:$C$148),0)</f>
        <v>0</v>
      </c>
      <c r="G70" s="115"/>
      <c r="H70" s="131">
        <f>IF($A70&lt;$D$5+$D$4,0,IF(AND($A70&gt;=$D$5,$A70&lt;=INT($D$8)-1+$D$4),LOOKUP($A70,Retraite!$A$7:$A$47,Retraite!$L$7:$L$47)/LOOKUP($A70,Barèmes!$A$65:$A$148,Barèmes!$C$65:$C$148),IF($A70=INT($D$8+$D$4),(LOOKUP($A70,Retraite!$A$7:$A$47,Retraite!$L$7:$L$47)/LOOKUP($A70,Barèmes!$A$65:$A$148,Barèmes!$C$65:$C$148))*(1-(INT($D$8)+1-$D$8)),0)))</f>
        <v>26105.599351188557</v>
      </c>
      <c r="I70" s="151">
        <f ca="1">IF($A70&lt;$D$5+$D$4,0,IF(AND($A70&gt;=$D$5,$A70&lt;=INT($D$8)-1+$D$4),LOOKUP($A70,Retraite!$A$7:$A$47,Retraite!$P$7:$P$47)/LOOKUP($A70,Barèmes!$A$65:$A$148,Barèmes!$C$65:$C$148),IF($A70=INT($D$8+$D$4),(LOOKUP($A70,Retraite!$A$7:$A$47,Retraite!$P$7:$P$47)/LOOKUP($A70,Barèmes!$A$65:$A$148,Barèmes!$C$65:$C$148))*(1-(INT($D$8)+1-$D$8)),0)))</f>
        <v>23729.989810230396</v>
      </c>
      <c r="J70" s="121">
        <f>IF($A70&lt;$D$5+$D$4,(LOOKUP($A70,Cot_droits!$A$17:$A$68,Cot_droits!$H$17:$H$68)+LOOKUP($A70,Cot_droits!$A$17:$A$68,Cot_droits!$L$17:$L$68))/LOOKUP($A70,Barèmes!$A$65:$A$148,Barèmes!$C$65:$C$148),0)</f>
        <v>0</v>
      </c>
      <c r="L70" s="131">
        <f ca="1">IF($A70&lt;$D$5+$D$4,0,IF(AND($A70&gt;=$D$5,$A70&lt;=INT($D$8)-1+$D$4),LOOKUP($A70,Retraite!$A$7:$A$47,Retraite!$M$7:$M$47)/LOOKUP($A70,Barèmes!$A$65:$A$148,Barèmes!$C$65:$C$148),IF($A70=INT($D$8+$D$4),(LOOKUP($A70,Retraite!$A$7:$A$47,Retraite!$M$7:$M$47)/LOOKUP($A70,Barèmes!$A$65:$A$148,Barèmes!$C$65:$C$148))*(1-(INT($D$8)+1-$D$8)),0)))</f>
        <v>7739.5229101161012</v>
      </c>
      <c r="M70" s="151">
        <f ca="1">IF($A70&lt;$D$5+$D$4,0,IF(AND($A70&gt;=$D$5,$A70&lt;=INT($D$8)-1+$D$4),LOOKUP($A70,Retraite!$A$7:$A$47,Retraite!$Q$7:$Q$47)/LOOKUP($A70,Barèmes!$A$65:$A$148,Barèmes!$C$65:$C$148),IF($A70=INT($D$8+$D$4),(LOOKUP($A70,Retraite!$A$7:$A$47,Retraite!$Q$7:$Q$47)/LOOKUP($A70,Barèmes!$A$65:$A$148,Barèmes!$C$65:$C$148))*(1-(INT($D$8)+1-$D$8)),0)))</f>
        <v>6957.8310961943762</v>
      </c>
      <c r="N70" s="121">
        <f>IF($A70&lt;$D$5+$D$4,(LOOKUP($A70,Cot_droits!$A$17:$A$68,Cot_droits!$I$17:$I$68)+LOOKUP($A70,Cot_droits!$A$17:$A$68,Cot_droits!$J$17:$J$68)+LOOKUP($A70,Cot_droits!$A$17:$A$68,Cot_droits!$N$17:$N$68))/LOOKUP($A70,Barèmes!$A$65:$A$148,Barèmes!$C$65:$C$148),0)</f>
        <v>0</v>
      </c>
      <c r="O70" s="115"/>
    </row>
    <row r="71" spans="1:15" s="43" customFormat="1" ht="15.75" customHeight="1" x14ac:dyDescent="0.25">
      <c r="A71" s="148">
        <f>TRI_prix!A65</f>
        <v>2070</v>
      </c>
      <c r="B71" s="121">
        <f>Cot_droits!C70/LOOKUP($A71,Barèmes!$A$65:$A$148,Barèmes!$C$65:$C$148)</f>
        <v>0</v>
      </c>
      <c r="C71" s="135"/>
      <c r="D71" s="131">
        <f ca="1">IF($A71&lt;$D$5+$D$4,0,IF(AND($A71&gt;=$D$5,$A71&lt;=INT($D$8)-1+$D$4),LOOKUP($A71,Retraite!$A$7:$A$47,Retraite!$K$7:$K$47)/LOOKUP($A71,Barèmes!$A$65:$A$148,Barèmes!$C$65:$C$148),IF($A71=INT($D$8+$D$4),(LOOKUP($A71,Retraite!$A$7:$A$47,Retraite!$K$7:$K$47)/LOOKUP($A71,Barèmes!$A$65:$A$148,Barèmes!$C$65:$C$148))*(1-(INT($D$8)+1-$D$8)),0)))</f>
        <v>33857.685134847525</v>
      </c>
      <c r="E71" s="151">
        <f ca="1">IF($A71&lt;$D$5+$D$4,0,IF(AND($A71&gt;=$D$5,$A71&lt;=INT($D$8)-1+$D$4),LOOKUP($A71,Retraite!$A$7:$A$47,Retraite!$N$7:$N$47)/LOOKUP($A71,Barèmes!$A$65:$A$148,Barèmes!$C$65:$C$148),IF($A71=INT($D$8+$D$4),(LOOKUP($A71,Retraite!$A$7:$A$47,Retraite!$N$7:$N$47)/LOOKUP($A71,Barèmes!$A$65:$A$148,Barèmes!$C$65:$C$148))*(1-(INT($D$8)+1-$D$8)),0)))</f>
        <v>30699.114929739808</v>
      </c>
      <c r="F71" s="121">
        <f>IF($A71&lt;$D$5+$D$4,LOOKUP($A71,Cot_droits!$A$17:$A$68,Cot_droits!$Q$17:$Q$68)/LOOKUP($A71,Barèmes!$A$65:$A$148,Barèmes!$C$65:$C$148),0)</f>
        <v>0</v>
      </c>
      <c r="G71" s="115"/>
      <c r="H71" s="131">
        <f>IF($A71&lt;$D$5+$D$4,0,IF(AND($A71&gt;=$D$5,$A71&lt;=INT($D$8)-1+$D$4),LOOKUP($A71,Retraite!$A$7:$A$47,Retraite!$L$7:$L$47)/LOOKUP($A71,Barèmes!$A$65:$A$148,Barèmes!$C$65:$C$148),IF($A71=INT($D$8+$D$4),(LOOKUP($A71,Retraite!$A$7:$A$47,Retraite!$L$7:$L$47)/LOOKUP($A71,Barèmes!$A$65:$A$148,Barèmes!$C$65:$C$148))*(1-(INT($D$8)+1-$D$8)),0)))</f>
        <v>26105.599351188554</v>
      </c>
      <c r="I71" s="151">
        <f ca="1">IF($A71&lt;$D$5+$D$4,0,IF(AND($A71&gt;=$D$5,$A71&lt;=INT($D$8)-1+$D$4),LOOKUP($A71,Retraite!$A$7:$A$47,Retraite!$P$7:$P$47)/LOOKUP($A71,Barèmes!$A$65:$A$148,Barèmes!$C$65:$C$148),IF($A71=INT($D$8+$D$4),(LOOKUP($A71,Retraite!$A$7:$A$47,Retraite!$P$7:$P$47)/LOOKUP($A71,Barèmes!$A$65:$A$148,Barèmes!$C$65:$C$148))*(1-(INT($D$8)+1-$D$8)),0)))</f>
        <v>23729.989810230396</v>
      </c>
      <c r="J71" s="121">
        <f>IF($A71&lt;$D$5+$D$4,(LOOKUP($A71,Cot_droits!$A$17:$A$68,Cot_droits!$H$17:$H$68)+LOOKUP($A71,Cot_droits!$A$17:$A$68,Cot_droits!$L$17:$L$68))/LOOKUP($A71,Barèmes!$A$65:$A$148,Barèmes!$C$65:$C$148),0)</f>
        <v>0</v>
      </c>
      <c r="L71" s="131">
        <f ca="1">IF($A71&lt;$D$5+$D$4,0,IF(AND($A71&gt;=$D$5,$A71&lt;=INT($D$8)-1+$D$4),LOOKUP($A71,Retraite!$A$7:$A$47,Retraite!$M$7:$M$47)/LOOKUP($A71,Barèmes!$A$65:$A$148,Barèmes!$C$65:$C$148),IF($A71=INT($D$8+$D$4),(LOOKUP($A71,Retraite!$A$7:$A$47,Retraite!$M$7:$M$47)/LOOKUP($A71,Barèmes!$A$65:$A$148,Barèmes!$C$65:$C$148))*(1-(INT($D$8)+1-$D$8)),0)))</f>
        <v>7752.085783658963</v>
      </c>
      <c r="M71" s="151">
        <f ca="1">IF($A71&lt;$D$5+$D$4,0,IF(AND($A71&gt;=$D$5,$A71&lt;=INT($D$8)-1+$D$4),LOOKUP($A71,Retraite!$A$7:$A$47,Retraite!$Q$7:$Q$47)/LOOKUP($A71,Barèmes!$A$65:$A$148,Barèmes!$C$65:$C$148),IF($A71=INT($D$8+$D$4),(LOOKUP($A71,Retraite!$A$7:$A$47,Retraite!$Q$7:$Q$47)/LOOKUP($A71,Barèmes!$A$65:$A$148,Barèmes!$C$65:$C$148))*(1-(INT($D$8)+1-$D$8)),0)))</f>
        <v>6969.1251195094083</v>
      </c>
      <c r="N71" s="121">
        <f>IF($A71&lt;$D$5+$D$4,(LOOKUP($A71,Cot_droits!$A$17:$A$68,Cot_droits!$I$17:$I$68)+LOOKUP($A71,Cot_droits!$A$17:$A$68,Cot_droits!$J$17:$J$68)+LOOKUP($A71,Cot_droits!$A$17:$A$68,Cot_droits!$N$17:$N$68))/LOOKUP($A71,Barèmes!$A$65:$A$148,Barèmes!$C$65:$C$148),0)</f>
        <v>0</v>
      </c>
      <c r="O71" s="115"/>
    </row>
    <row r="72" spans="1:15" s="43" customFormat="1" ht="15.75" customHeight="1" x14ac:dyDescent="0.25">
      <c r="A72" s="148">
        <f>TRI_prix!A66</f>
        <v>2071</v>
      </c>
      <c r="B72" s="121">
        <f>Cot_droits!C71/LOOKUP($A72,Barèmes!$A$65:$A$148,Barèmes!$C$65:$C$148)</f>
        <v>0</v>
      </c>
      <c r="C72" s="135"/>
      <c r="D72" s="131">
        <f ca="1">IF($A72&lt;$D$5+$D$4,0,IF(AND($A72&gt;=$D$5,$A72&lt;=INT($D$8)-1+$D$4),LOOKUP($A72,Retraite!$A$7:$A$47,Retraite!$K$7:$K$47)/LOOKUP($A72,Barèmes!$A$65:$A$148,Barèmes!$C$65:$C$148),IF($A72=INT($D$8+$D$4),(LOOKUP($A72,Retraite!$A$7:$A$47,Retraite!$K$7:$K$47)/LOOKUP($A72,Barèmes!$A$65:$A$148,Barèmes!$C$65:$C$148))*(1-(INT($D$8)+1-$D$8)),0)))</f>
        <v>33870.199599247753</v>
      </c>
      <c r="E72" s="151">
        <f ca="1">IF($A72&lt;$D$5+$D$4,0,IF(AND($A72&gt;=$D$5,$A72&lt;=INT($D$8)-1+$D$4),LOOKUP($A72,Retraite!$A$7:$A$47,Retraite!$N$7:$N$47)/LOOKUP($A72,Barèmes!$A$65:$A$148,Barèmes!$C$65:$C$148),IF($A72=INT($D$8+$D$4),(LOOKUP($A72,Retraite!$A$7:$A$47,Retraite!$N$7:$N$47)/LOOKUP($A72,Barèmes!$A$65:$A$148,Barèmes!$C$65:$C$148))*(1-(INT($D$8)+1-$D$8)),0)))</f>
        <v>30710.36543323562</v>
      </c>
      <c r="F72" s="121">
        <f>IF($A72&lt;$D$5+$D$4,LOOKUP($A72,Cot_droits!$A$17:$A$68,Cot_droits!$Q$17:$Q$68)/LOOKUP($A72,Barèmes!$A$65:$A$148,Barèmes!$C$65:$C$148),0)</f>
        <v>0</v>
      </c>
      <c r="G72" s="115"/>
      <c r="H72" s="131">
        <f>IF($A72&lt;$D$5+$D$4,0,IF(AND($A72&gt;=$D$5,$A72&lt;=INT($D$8)-1+$D$4),LOOKUP($A72,Retraite!$A$7:$A$47,Retraite!$L$7:$L$47)/LOOKUP($A72,Barèmes!$A$65:$A$148,Barèmes!$C$65:$C$148),IF($A72=INT($D$8+$D$4),(LOOKUP($A72,Retraite!$A$7:$A$47,Retraite!$L$7:$L$47)/LOOKUP($A72,Barèmes!$A$65:$A$148,Barèmes!$C$65:$C$148))*(1-(INT($D$8)+1-$D$8)),0)))</f>
        <v>26105.599351188554</v>
      </c>
      <c r="I72" s="151">
        <f ca="1">IF($A72&lt;$D$5+$D$4,0,IF(AND($A72&gt;=$D$5,$A72&lt;=INT($D$8)-1+$D$4),LOOKUP($A72,Retraite!$A$7:$A$47,Retraite!$P$7:$P$47)/LOOKUP($A72,Barèmes!$A$65:$A$148,Barèmes!$C$65:$C$148),IF($A72=INT($D$8+$D$4),(LOOKUP($A72,Retraite!$A$7:$A$47,Retraite!$P$7:$P$47)/LOOKUP($A72,Barèmes!$A$65:$A$148,Barèmes!$C$65:$C$148))*(1-(INT($D$8)+1-$D$8)),0)))</f>
        <v>23729.989810230396</v>
      </c>
      <c r="J72" s="121">
        <f>IF($A72&lt;$D$5+$D$4,(LOOKUP($A72,Cot_droits!$A$17:$A$68,Cot_droits!$H$17:$H$68)+LOOKUP($A72,Cot_droits!$A$17:$A$68,Cot_droits!$L$17:$L$68))/LOOKUP($A72,Barèmes!$A$65:$A$148,Barèmes!$C$65:$C$148),0)</f>
        <v>0</v>
      </c>
      <c r="L72" s="131">
        <f ca="1">IF($A72&lt;$D$5+$D$4,0,IF(AND($A72&gt;=$D$5,$A72&lt;=INT($D$8)-1+$D$4),LOOKUP($A72,Retraite!$A$7:$A$47,Retraite!$M$7:$M$47)/LOOKUP($A72,Barèmes!$A$65:$A$148,Barèmes!$C$65:$C$148),IF($A72=INT($D$8+$D$4),(LOOKUP($A72,Retraite!$A$7:$A$47,Retraite!$M$7:$M$47)/LOOKUP($A72,Barèmes!$A$65:$A$148,Barèmes!$C$65:$C$148))*(1-(INT($D$8)+1-$D$8)),0)))</f>
        <v>7764.6002480592042</v>
      </c>
      <c r="M72" s="151">
        <f ca="1">IF($A72&lt;$D$5+$D$4,0,IF(AND($A72&gt;=$D$5,$A72&lt;=INT($D$8)-1+$D$4),LOOKUP($A72,Retraite!$A$7:$A$47,Retraite!$Q$7:$Q$47)/LOOKUP($A72,Barèmes!$A$65:$A$148,Barèmes!$C$65:$C$148),IF($A72=INT($D$8+$D$4),(LOOKUP($A72,Retraite!$A$7:$A$47,Retraite!$Q$7:$Q$47)/LOOKUP($A72,Barèmes!$A$65:$A$148,Barèmes!$C$65:$C$148))*(1-(INT($D$8)+1-$D$8)),0)))</f>
        <v>6980.375623005224</v>
      </c>
      <c r="N72" s="121">
        <f>IF($A72&lt;$D$5+$D$4,(LOOKUP($A72,Cot_droits!$A$17:$A$68,Cot_droits!$I$17:$I$68)+LOOKUP($A72,Cot_droits!$A$17:$A$68,Cot_droits!$J$17:$J$68)+LOOKUP($A72,Cot_droits!$A$17:$A$68,Cot_droits!$N$17:$N$68))/LOOKUP($A72,Barèmes!$A$65:$A$148,Barèmes!$C$65:$C$148),0)</f>
        <v>0</v>
      </c>
      <c r="O72" s="115"/>
    </row>
    <row r="73" spans="1:15" s="43" customFormat="1" ht="15.75" customHeight="1" x14ac:dyDescent="0.25">
      <c r="A73" s="148">
        <f>TRI_prix!A67</f>
        <v>2072</v>
      </c>
      <c r="B73" s="121">
        <f>Cot_droits!C72/LOOKUP($A73,Barèmes!$A$65:$A$148,Barèmes!$C$65:$C$148)</f>
        <v>0</v>
      </c>
      <c r="C73" s="135"/>
      <c r="D73" s="131">
        <f ca="1">IF($A73&lt;$D$5+$D$4,0,IF(AND($A73&gt;=$D$5,$A73&lt;=INT($D$8)-1+$D$4),LOOKUP($A73,Retraite!$A$7:$A$47,Retraite!$K$7:$K$47)/LOOKUP($A73,Barèmes!$A$65:$A$148,Barèmes!$C$65:$C$148),IF($A73=INT($D$8+$D$4),(LOOKUP($A73,Retraite!$A$7:$A$47,Retraite!$K$7:$K$47)/LOOKUP($A73,Barèmes!$A$65:$A$148,Barèmes!$C$65:$C$148))*(1-(INT($D$8)+1-$D$8)),0)))</f>
        <v>33882.619144116274</v>
      </c>
      <c r="E73" s="151">
        <f ca="1">IF($A73&lt;$D$5+$D$4,0,IF(AND($A73&gt;=$D$5,$A73&lt;=INT($D$8)-1+$D$4),LOOKUP($A73,Retraite!$A$7:$A$47,Retraite!$N$7:$N$47)/LOOKUP($A73,Barèmes!$A$65:$A$148,Barèmes!$C$65:$C$148),IF($A73=INT($D$8+$D$4),(LOOKUP($A73,Retraite!$A$7:$A$47,Retraite!$N$7:$N$47)/LOOKUP($A73,Barèmes!$A$65:$A$148,Barèmes!$C$65:$C$148))*(1-(INT($D$8)+1-$D$8)),0)))</f>
        <v>30721.530604072414</v>
      </c>
      <c r="F73" s="121">
        <f>IF($A73&lt;$D$5+$D$4,LOOKUP($A73,Cot_droits!$A$17:$A$68,Cot_droits!$Q$17:$Q$68)/LOOKUP($A73,Barèmes!$A$65:$A$148,Barèmes!$C$65:$C$148),0)</f>
        <v>0</v>
      </c>
      <c r="G73" s="115"/>
      <c r="H73" s="131">
        <f>IF($A73&lt;$D$5+$D$4,0,IF(AND($A73&gt;=$D$5,$A73&lt;=INT($D$8)-1+$D$4),LOOKUP($A73,Retraite!$A$7:$A$47,Retraite!$L$7:$L$47)/LOOKUP($A73,Barèmes!$A$65:$A$148,Barèmes!$C$65:$C$148),IF($A73=INT($D$8+$D$4),(LOOKUP($A73,Retraite!$A$7:$A$47,Retraite!$L$7:$L$47)/LOOKUP($A73,Barèmes!$A$65:$A$148,Barèmes!$C$65:$C$148))*(1-(INT($D$8)+1-$D$8)),0)))</f>
        <v>26105.599351188554</v>
      </c>
      <c r="I73" s="151">
        <f ca="1">IF($A73&lt;$D$5+$D$4,0,IF(AND($A73&gt;=$D$5,$A73&lt;=INT($D$8)-1+$D$4),LOOKUP($A73,Retraite!$A$7:$A$47,Retraite!$P$7:$P$47)/LOOKUP($A73,Barèmes!$A$65:$A$148,Barèmes!$C$65:$C$148),IF($A73=INT($D$8+$D$4),(LOOKUP($A73,Retraite!$A$7:$A$47,Retraite!$P$7:$P$47)/LOOKUP($A73,Barèmes!$A$65:$A$148,Barèmes!$C$65:$C$148))*(1-(INT($D$8)+1-$D$8)),0)))</f>
        <v>23729.989810230396</v>
      </c>
      <c r="J73" s="121">
        <f>IF($A73&lt;$D$5+$D$4,(LOOKUP($A73,Cot_droits!$A$17:$A$68,Cot_droits!$H$17:$H$68)+LOOKUP($A73,Cot_droits!$A$17:$A$68,Cot_droits!$L$17:$L$68))/LOOKUP($A73,Barèmes!$A$65:$A$148,Barèmes!$C$65:$C$148),0)</f>
        <v>0</v>
      </c>
      <c r="L73" s="131">
        <f ca="1">IF($A73&lt;$D$5+$D$4,0,IF(AND($A73&gt;=$D$5,$A73&lt;=INT($D$8)-1+$D$4),LOOKUP($A73,Retraite!$A$7:$A$47,Retraite!$M$7:$M$47)/LOOKUP($A73,Barèmes!$A$65:$A$148,Barèmes!$C$65:$C$148),IF($A73=INT($D$8+$D$4),(LOOKUP($A73,Retraite!$A$7:$A$47,Retraite!$M$7:$M$47)/LOOKUP($A73,Barèmes!$A$65:$A$148,Barèmes!$C$65:$C$148))*(1-(INT($D$8)+1-$D$8)),0)))</f>
        <v>7777.0197929277192</v>
      </c>
      <c r="M73" s="151">
        <f ca="1">IF($A73&lt;$D$5+$D$4,0,IF(AND($A73&gt;=$D$5,$A73&lt;=INT($D$8)-1+$D$4),LOOKUP($A73,Retraite!$A$7:$A$47,Retraite!$Q$7:$Q$47)/LOOKUP($A73,Barèmes!$A$65:$A$148,Barèmes!$C$65:$C$148),IF($A73=INT($D$8+$D$4),(LOOKUP($A73,Retraite!$A$7:$A$47,Retraite!$Q$7:$Q$47)/LOOKUP($A73,Barèmes!$A$65:$A$148,Barèmes!$C$65:$C$148))*(1-(INT($D$8)+1-$D$8)),0)))</f>
        <v>6991.5407938420185</v>
      </c>
      <c r="N73" s="121">
        <f>IF($A73&lt;$D$5+$D$4,(LOOKUP($A73,Cot_droits!$A$17:$A$68,Cot_droits!$I$17:$I$68)+LOOKUP($A73,Cot_droits!$A$17:$A$68,Cot_droits!$J$17:$J$68)+LOOKUP($A73,Cot_droits!$A$17:$A$68,Cot_droits!$N$17:$N$68))/LOOKUP($A73,Barèmes!$A$65:$A$148,Barèmes!$C$65:$C$148),0)</f>
        <v>0</v>
      </c>
      <c r="O73" s="115"/>
    </row>
    <row r="74" spans="1:15" s="43" customFormat="1" ht="15.75" customHeight="1" x14ac:dyDescent="0.25">
      <c r="A74" s="148">
        <f>TRI_prix!A68</f>
        <v>2073</v>
      </c>
      <c r="B74" s="121">
        <f>Cot_droits!C73/LOOKUP($A74,Barèmes!$A$65:$A$148,Barèmes!$C$65:$C$148)</f>
        <v>0</v>
      </c>
      <c r="C74" s="135"/>
      <c r="D74" s="131">
        <f ca="1">IF($A74&lt;$D$5+$D$4,0,IF(AND($A74&gt;=$D$5,$A74&lt;=INT($D$8)-1+$D$4),LOOKUP($A74,Retraite!$A$7:$A$47,Retraite!$K$7:$K$47)/LOOKUP($A74,Barèmes!$A$65:$A$148,Barèmes!$C$65:$C$148),IF($A74=INT($D$8+$D$4),(LOOKUP($A74,Retraite!$A$7:$A$47,Retraite!$K$7:$K$47)/LOOKUP($A74,Barèmes!$A$65:$A$148,Barèmes!$C$65:$C$148))*(1-(INT($D$8)+1-$D$8)),0)))</f>
        <v>33895.058554153606</v>
      </c>
      <c r="E74" s="151">
        <f ca="1">IF($A74&lt;$D$5+$D$4,0,IF(AND($A74&gt;=$D$5,$A74&lt;=INT($D$8)-1+$D$4),LOOKUP($A74,Retraite!$A$7:$A$47,Retraite!$N$7:$N$47)/LOOKUP($A74,Barèmes!$A$65:$A$148,Barèmes!$C$65:$C$148),IF($A74=INT($D$8+$D$4),(LOOKUP($A74,Retraite!$A$7:$A$47,Retraite!$N$7:$N$47)/LOOKUP($A74,Barèmes!$A$65:$A$148,Barèmes!$C$65:$C$148))*(1-(INT($D$8)+1-$D$8)),0)))</f>
        <v>30732.713633695977</v>
      </c>
      <c r="F74" s="121">
        <f>IF($A74&lt;$D$5+$D$4,LOOKUP($A74,Cot_droits!$A$17:$A$68,Cot_droits!$Q$17:$Q$68)/LOOKUP($A74,Barèmes!$A$65:$A$148,Barèmes!$C$65:$C$148),0)</f>
        <v>0</v>
      </c>
      <c r="G74" s="115"/>
      <c r="H74" s="131">
        <f>IF($A74&lt;$D$5+$D$4,0,IF(AND($A74&gt;=$D$5,$A74&lt;=INT($D$8)-1+$D$4),LOOKUP($A74,Retraite!$A$7:$A$47,Retraite!$L$7:$L$47)/LOOKUP($A74,Barèmes!$A$65:$A$148,Barèmes!$C$65:$C$148),IF($A74=INT($D$8+$D$4),(LOOKUP($A74,Retraite!$A$7:$A$47,Retraite!$L$7:$L$47)/LOOKUP($A74,Barèmes!$A$65:$A$148,Barèmes!$C$65:$C$148))*(1-(INT($D$8)+1-$D$8)),0)))</f>
        <v>26105.59935118855</v>
      </c>
      <c r="I74" s="151">
        <f ca="1">IF($A74&lt;$D$5+$D$4,0,IF(AND($A74&gt;=$D$5,$A74&lt;=INT($D$8)-1+$D$4),LOOKUP($A74,Retraite!$A$7:$A$47,Retraite!$P$7:$P$47)/LOOKUP($A74,Barèmes!$A$65:$A$148,Barèmes!$C$65:$C$148),IF($A74=INT($D$8+$D$4),(LOOKUP($A74,Retraite!$A$7:$A$47,Retraite!$P$7:$P$47)/LOOKUP($A74,Barèmes!$A$65:$A$148,Barèmes!$C$65:$C$148))*(1-(INT($D$8)+1-$D$8)),0)))</f>
        <v>23729.989810230396</v>
      </c>
      <c r="J74" s="121">
        <f>IF($A74&lt;$D$5+$D$4,(LOOKUP($A74,Cot_droits!$A$17:$A$68,Cot_droits!$H$17:$H$68)+LOOKUP($A74,Cot_droits!$A$17:$A$68,Cot_droits!$L$17:$L$68))/LOOKUP($A74,Barèmes!$A$65:$A$148,Barèmes!$C$65:$C$148),0)</f>
        <v>0</v>
      </c>
      <c r="L74" s="131">
        <f ca="1">IF($A74&lt;$D$5+$D$4,0,IF(AND($A74&gt;=$D$5,$A74&lt;=INT($D$8)-1+$D$4),LOOKUP($A74,Retraite!$A$7:$A$47,Retraite!$M$7:$M$47)/LOOKUP($A74,Barèmes!$A$65:$A$148,Barèmes!$C$65:$C$148),IF($A74=INT($D$8+$D$4),(LOOKUP($A74,Retraite!$A$7:$A$47,Retraite!$M$7:$M$47)/LOOKUP($A74,Barèmes!$A$65:$A$148,Barèmes!$C$65:$C$148))*(1-(INT($D$8)+1-$D$8)),0)))</f>
        <v>7789.459202965053</v>
      </c>
      <c r="M74" s="151">
        <f ca="1">IF($A74&lt;$D$5+$D$4,0,IF(AND($A74&gt;=$D$5,$A74&lt;=INT($D$8)-1+$D$4),LOOKUP($A74,Retraite!$A$7:$A$47,Retraite!$Q$7:$Q$47)/LOOKUP($A74,Barèmes!$A$65:$A$148,Barèmes!$C$65:$C$148),IF($A74=INT($D$8+$D$4),(LOOKUP($A74,Retraite!$A$7:$A$47,Retraite!$Q$7:$Q$47)/LOOKUP($A74,Barèmes!$A$65:$A$148,Barèmes!$C$65:$C$148))*(1-(INT($D$8)+1-$D$8)),0)))</f>
        <v>7002.7238234655824</v>
      </c>
      <c r="N74" s="121">
        <f>IF($A74&lt;$D$5+$D$4,(LOOKUP($A74,Cot_droits!$A$17:$A$68,Cot_droits!$I$17:$I$68)+LOOKUP($A74,Cot_droits!$A$17:$A$68,Cot_droits!$J$17:$J$68)+LOOKUP($A74,Cot_droits!$A$17:$A$68,Cot_droits!$N$17:$N$68))/LOOKUP($A74,Barèmes!$A$65:$A$148,Barèmes!$C$65:$C$148),0)</f>
        <v>0</v>
      </c>
      <c r="O74" s="115"/>
    </row>
    <row r="75" spans="1:15" s="43" customFormat="1" ht="15.75" customHeight="1" x14ac:dyDescent="0.25">
      <c r="A75" s="148">
        <f>TRI_prix!A69</f>
        <v>2074</v>
      </c>
      <c r="B75" s="121">
        <f>Cot_droits!C74/LOOKUP($A75,Barèmes!$A$65:$A$148,Barèmes!$C$65:$C$148)</f>
        <v>0</v>
      </c>
      <c r="C75" s="135"/>
      <c r="D75" s="131">
        <f ca="1">IF($A75&lt;$D$5+$D$4,0,IF(AND($A75&gt;=$D$5,$A75&lt;=INT($D$8)-1+$D$4),LOOKUP($A75,Retraite!$A$7:$A$47,Retraite!$K$7:$K$47)/LOOKUP($A75,Barèmes!$A$65:$A$148,Barèmes!$C$65:$C$148),IF($A75=INT($D$8+$D$4),(LOOKUP($A75,Retraite!$A$7:$A$47,Retraite!$K$7:$K$47)/LOOKUP($A75,Barèmes!$A$65:$A$148,Barèmes!$C$65:$C$148))*(1-(INT($D$8)+1-$D$8)),0)))</f>
        <v>33907.517861134271</v>
      </c>
      <c r="E75" s="151">
        <f ca="1">IF($A75&lt;$D$5+$D$4,0,IF(AND($A75&gt;=$D$5,$A75&lt;=INT($D$8)-1+$D$4),LOOKUP($A75,Retraite!$A$7:$A$47,Retraite!$N$7:$N$47)/LOOKUP($A75,Barèmes!$A$65:$A$148,Barèmes!$C$65:$C$148),IF($A75=INT($D$8+$D$4),(LOOKUP($A75,Retraite!$A$7:$A$47,Retraite!$N$7:$N$47)/LOOKUP($A75,Barèmes!$A$65:$A$148,Barèmes!$C$65:$C$148))*(1-(INT($D$8)+1-$D$8)),0)))</f>
        <v>30743.914550671594</v>
      </c>
      <c r="F75" s="121">
        <f>IF($A75&lt;$D$5+$D$4,LOOKUP($A75,Cot_droits!$A$17:$A$68,Cot_droits!$Q$17:$Q$68)/LOOKUP($A75,Barèmes!$A$65:$A$148,Barèmes!$C$65:$C$148),0)</f>
        <v>0</v>
      </c>
      <c r="G75" s="115"/>
      <c r="H75" s="131">
        <f>IF($A75&lt;$D$5+$D$4,0,IF(AND($A75&gt;=$D$5,$A75&lt;=INT($D$8)-1+$D$4),LOOKUP($A75,Retraite!$A$7:$A$47,Retraite!$L$7:$L$47)/LOOKUP($A75,Barèmes!$A$65:$A$148,Barèmes!$C$65:$C$148),IF($A75=INT($D$8+$D$4),(LOOKUP($A75,Retraite!$A$7:$A$47,Retraite!$L$7:$L$47)/LOOKUP($A75,Barèmes!$A$65:$A$148,Barèmes!$C$65:$C$148))*(1-(INT($D$8)+1-$D$8)),0)))</f>
        <v>26105.599351188554</v>
      </c>
      <c r="I75" s="151">
        <f ca="1">IF($A75&lt;$D$5+$D$4,0,IF(AND($A75&gt;=$D$5,$A75&lt;=INT($D$8)-1+$D$4),LOOKUP($A75,Retraite!$A$7:$A$47,Retraite!$P$7:$P$47)/LOOKUP($A75,Barèmes!$A$65:$A$148,Barèmes!$C$65:$C$148),IF($A75=INT($D$8+$D$4),(LOOKUP($A75,Retraite!$A$7:$A$47,Retraite!$P$7:$P$47)/LOOKUP($A75,Barèmes!$A$65:$A$148,Barèmes!$C$65:$C$148))*(1-(INT($D$8)+1-$D$8)),0)))</f>
        <v>23729.989810230396</v>
      </c>
      <c r="J75" s="121">
        <f>IF($A75&lt;$D$5+$D$4,(LOOKUP($A75,Cot_droits!$A$17:$A$68,Cot_droits!$H$17:$H$68)+LOOKUP($A75,Cot_droits!$A$17:$A$68,Cot_droits!$L$17:$L$68))/LOOKUP($A75,Barèmes!$A$65:$A$148,Barèmes!$C$65:$C$148),0)</f>
        <v>0</v>
      </c>
      <c r="L75" s="131">
        <f ca="1">IF($A75&lt;$D$5+$D$4,0,IF(AND($A75&gt;=$D$5,$A75&lt;=INT($D$8)-1+$D$4),LOOKUP($A75,Retraite!$A$7:$A$47,Retraite!$M$7:$M$47)/LOOKUP($A75,Barèmes!$A$65:$A$148,Barèmes!$C$65:$C$148),IF($A75=INT($D$8+$D$4),(LOOKUP($A75,Retraite!$A$7:$A$47,Retraite!$M$7:$M$47)/LOOKUP($A75,Barèmes!$A$65:$A$148,Barèmes!$C$65:$C$148))*(1-(INT($D$8)+1-$D$8)),0)))</f>
        <v>7801.9185099457163</v>
      </c>
      <c r="M75" s="151">
        <f ca="1">IF($A75&lt;$D$5+$D$4,0,IF(AND($A75&gt;=$D$5,$A75&lt;=INT($D$8)-1+$D$4),LOOKUP($A75,Retraite!$A$7:$A$47,Retraite!$Q$7:$Q$47)/LOOKUP($A75,Barèmes!$A$65:$A$148,Barèmes!$C$65:$C$148),IF($A75=INT($D$8+$D$4),(LOOKUP($A75,Retraite!$A$7:$A$47,Retraite!$Q$7:$Q$47)/LOOKUP($A75,Barèmes!$A$65:$A$148,Barèmes!$C$65:$C$148))*(1-(INT($D$8)+1-$D$8)),0)))</f>
        <v>7013.9247404411999</v>
      </c>
      <c r="N75" s="121">
        <f>IF($A75&lt;$D$5+$D$4,(LOOKUP($A75,Cot_droits!$A$17:$A$68,Cot_droits!$I$17:$I$68)+LOOKUP($A75,Cot_droits!$A$17:$A$68,Cot_droits!$J$17:$J$68)+LOOKUP($A75,Cot_droits!$A$17:$A$68,Cot_droits!$N$17:$N$68))/LOOKUP($A75,Barèmes!$A$65:$A$148,Barèmes!$C$65:$C$148),0)</f>
        <v>0</v>
      </c>
      <c r="O75" s="115"/>
    </row>
    <row r="76" spans="1:15" s="43" customFormat="1" ht="15.75" customHeight="1" x14ac:dyDescent="0.25">
      <c r="A76" s="148">
        <f>TRI_prix!A70</f>
        <v>2075</v>
      </c>
      <c r="B76" s="121">
        <f>Cot_droits!C75/LOOKUP($A76,Barèmes!$A$65:$A$148,Barèmes!$C$65:$C$148)</f>
        <v>0</v>
      </c>
      <c r="C76" s="135"/>
      <c r="D76" s="131">
        <f ca="1">IF($A76&lt;$D$5+$D$4,0,IF(AND($A76&gt;=$D$5,$A76&lt;=INT($D$8)-1+$D$4),LOOKUP($A76,Retraite!$A$7:$A$47,Retraite!$K$7:$K$47)/LOOKUP($A76,Barèmes!$A$65:$A$148,Barèmes!$C$65:$C$148),IF($A76=INT($D$8+$D$4),(LOOKUP($A76,Retraite!$A$7:$A$47,Retraite!$K$7:$K$47)/LOOKUP($A76,Barèmes!$A$65:$A$148,Barèmes!$C$65:$C$148))*(1-(INT($D$8)+1-$D$8)),0)))</f>
        <v>33919.997096883584</v>
      </c>
      <c r="E76" s="151">
        <f ca="1">IF($A76&lt;$D$5+$D$4,0,IF(AND($A76&gt;=$D$5,$A76&lt;=INT($D$8)-1+$D$4),LOOKUP($A76,Retraite!$A$7:$A$47,Retraite!$N$7:$N$47)/LOOKUP($A76,Barèmes!$A$65:$A$148,Barèmes!$C$65:$C$148),IF($A76=INT($D$8+$D$4),(LOOKUP($A76,Retraite!$A$7:$A$47,Retraite!$N$7:$N$47)/LOOKUP($A76,Barèmes!$A$65:$A$148,Barèmes!$C$65:$C$148))*(1-(INT($D$8)+1-$D$8)),0)))</f>
        <v>30755.133383610235</v>
      </c>
      <c r="F76" s="121">
        <f>IF($A76&lt;$D$5+$D$4,LOOKUP($A76,Cot_droits!$A$17:$A$68,Cot_droits!$Q$17:$Q$68)/LOOKUP($A76,Barèmes!$A$65:$A$148,Barèmes!$C$65:$C$148),0)</f>
        <v>0</v>
      </c>
      <c r="G76" s="115"/>
      <c r="H76" s="131">
        <f>IF($A76&lt;$D$5+$D$4,0,IF(AND($A76&gt;=$D$5,$A76&lt;=INT($D$8)-1+$D$4),LOOKUP($A76,Retraite!$A$7:$A$47,Retraite!$L$7:$L$47)/LOOKUP($A76,Barèmes!$A$65:$A$148,Barèmes!$C$65:$C$148),IF($A76=INT($D$8+$D$4),(LOOKUP($A76,Retraite!$A$7:$A$47,Retraite!$L$7:$L$47)/LOOKUP($A76,Barèmes!$A$65:$A$148,Barèmes!$C$65:$C$148))*(1-(INT($D$8)+1-$D$8)),0)))</f>
        <v>26105.59935118855</v>
      </c>
      <c r="I76" s="151">
        <f ca="1">IF($A76&lt;$D$5+$D$4,0,IF(AND($A76&gt;=$D$5,$A76&lt;=INT($D$8)-1+$D$4),LOOKUP($A76,Retraite!$A$7:$A$47,Retraite!$P$7:$P$47)/LOOKUP($A76,Barèmes!$A$65:$A$148,Barèmes!$C$65:$C$148),IF($A76=INT($D$8+$D$4),(LOOKUP($A76,Retraite!$A$7:$A$47,Retraite!$P$7:$P$47)/LOOKUP($A76,Barèmes!$A$65:$A$148,Barèmes!$C$65:$C$148))*(1-(INT($D$8)+1-$D$8)),0)))</f>
        <v>23729.989810230392</v>
      </c>
      <c r="J76" s="121">
        <f>IF($A76&lt;$D$5+$D$4,(LOOKUP($A76,Cot_droits!$A$17:$A$68,Cot_droits!$H$17:$H$68)+LOOKUP($A76,Cot_droits!$A$17:$A$68,Cot_droits!$L$17:$L$68))/LOOKUP($A76,Barèmes!$A$65:$A$148,Barèmes!$C$65:$C$148),0)</f>
        <v>0</v>
      </c>
      <c r="L76" s="131">
        <f ca="1">IF($A76&lt;$D$5+$D$4,0,IF(AND($A76&gt;=$D$5,$A76&lt;=INT($D$8)-1+$D$4),LOOKUP($A76,Retraite!$A$7:$A$47,Retraite!$M$7:$M$47)/LOOKUP($A76,Barèmes!$A$65:$A$148,Barèmes!$C$65:$C$148),IF($A76=INT($D$8+$D$4),(LOOKUP($A76,Retraite!$A$7:$A$47,Retraite!$M$7:$M$47)/LOOKUP($A76,Barèmes!$A$65:$A$148,Barèmes!$C$65:$C$148))*(1-(INT($D$8)+1-$D$8)),0)))</f>
        <v>7814.3977456950379</v>
      </c>
      <c r="M76" s="151">
        <f ca="1">IF($A76&lt;$D$5+$D$4,0,IF(AND($A76&gt;=$D$5,$A76&lt;=INT($D$8)-1+$D$4),LOOKUP($A76,Retraite!$A$7:$A$47,Retraite!$Q$7:$Q$47)/LOOKUP($A76,Barèmes!$A$65:$A$148,Barèmes!$C$65:$C$148),IF($A76=INT($D$8+$D$4),(LOOKUP($A76,Retraite!$A$7:$A$47,Retraite!$Q$7:$Q$47)/LOOKUP($A76,Barèmes!$A$65:$A$148,Barèmes!$C$65:$C$148))*(1-(INT($D$8)+1-$D$8)),0)))</f>
        <v>7025.1435733798389</v>
      </c>
      <c r="N76" s="121">
        <f>IF($A76&lt;$D$5+$D$4,(LOOKUP($A76,Cot_droits!$A$17:$A$68,Cot_droits!$I$17:$I$68)+LOOKUP($A76,Cot_droits!$A$17:$A$68,Cot_droits!$J$17:$J$68)+LOOKUP($A76,Cot_droits!$A$17:$A$68,Cot_droits!$N$17:$N$68))/LOOKUP($A76,Barèmes!$A$65:$A$148,Barèmes!$C$65:$C$148),0)</f>
        <v>0</v>
      </c>
      <c r="O76" s="115"/>
    </row>
    <row r="77" spans="1:15" s="43" customFormat="1" ht="15.75" customHeight="1" x14ac:dyDescent="0.25">
      <c r="A77" s="148">
        <f>TRI_prix!A71</f>
        <v>2076</v>
      </c>
      <c r="B77" s="121">
        <f>Cot_droits!C76/LOOKUP($A77,Barèmes!$A$65:$A$148,Barèmes!$C$65:$C$148)</f>
        <v>0</v>
      </c>
      <c r="C77" s="135"/>
      <c r="D77" s="131">
        <f ca="1">IF($A77&lt;$D$5+$D$4,0,IF(AND($A77&gt;=$D$5,$A77&lt;=INT($D$8)-1+$D$4),LOOKUP($A77,Retraite!$A$7:$A$47,Retraite!$K$7:$K$47)/LOOKUP($A77,Barèmes!$A$65:$A$148,Barèmes!$C$65:$C$148),IF($A77=INT($D$8+$D$4),(LOOKUP($A77,Retraite!$A$7:$A$47,Retraite!$K$7:$K$47)/LOOKUP($A77,Barèmes!$A$65:$A$148,Barèmes!$C$65:$C$148))*(1-(INT($D$8)+1-$D$8)),0)))</f>
        <v>33932.496293277807</v>
      </c>
      <c r="E77" s="151">
        <f ca="1">IF($A77&lt;$D$5+$D$4,0,IF(AND($A77&gt;=$D$5,$A77&lt;=INT($D$8)-1+$D$4),LOOKUP($A77,Retraite!$A$7:$A$47,Retraite!$N$7:$N$47)/LOOKUP($A77,Barèmes!$A$65:$A$148,Barèmes!$C$65:$C$148),IF($A77=INT($D$8+$D$4),(LOOKUP($A77,Retraite!$A$7:$A$47,Retraite!$N$7:$N$47)/LOOKUP($A77,Barèmes!$A$65:$A$148,Barèmes!$C$65:$C$148))*(1-(INT($D$8)+1-$D$8)),0)))</f>
        <v>30766.370161168637</v>
      </c>
      <c r="F77" s="121">
        <f>IF($A77&lt;$D$5+$D$4,LOOKUP($A77,Cot_droits!$A$17:$A$68,Cot_droits!$Q$17:$Q$68)/LOOKUP($A77,Barèmes!$A$65:$A$148,Barèmes!$C$65:$C$148),0)</f>
        <v>0</v>
      </c>
      <c r="G77" s="115"/>
      <c r="H77" s="131">
        <f>IF($A77&lt;$D$5+$D$4,0,IF(AND($A77&gt;=$D$5,$A77&lt;=INT($D$8)-1+$D$4),LOOKUP($A77,Retraite!$A$7:$A$47,Retraite!$L$7:$L$47)/LOOKUP($A77,Barèmes!$A$65:$A$148,Barèmes!$C$65:$C$148),IF($A77=INT($D$8+$D$4),(LOOKUP($A77,Retraite!$A$7:$A$47,Retraite!$L$7:$L$47)/LOOKUP($A77,Barèmes!$A$65:$A$148,Barèmes!$C$65:$C$148))*(1-(INT($D$8)+1-$D$8)),0)))</f>
        <v>26105.599351188554</v>
      </c>
      <c r="I77" s="151">
        <f ca="1">IF($A77&lt;$D$5+$D$4,0,IF(AND($A77&gt;=$D$5,$A77&lt;=INT($D$8)-1+$D$4),LOOKUP($A77,Retraite!$A$7:$A$47,Retraite!$P$7:$P$47)/LOOKUP($A77,Barèmes!$A$65:$A$148,Barèmes!$C$65:$C$148),IF($A77=INT($D$8+$D$4),(LOOKUP($A77,Retraite!$A$7:$A$47,Retraite!$P$7:$P$47)/LOOKUP($A77,Barèmes!$A$65:$A$148,Barèmes!$C$65:$C$148))*(1-(INT($D$8)+1-$D$8)),0)))</f>
        <v>23729.989810230396</v>
      </c>
      <c r="J77" s="121">
        <f>IF($A77&lt;$D$5+$D$4,(LOOKUP($A77,Cot_droits!$A$17:$A$68,Cot_droits!$H$17:$H$68)+LOOKUP($A77,Cot_droits!$A$17:$A$68,Cot_droits!$L$17:$L$68))/LOOKUP($A77,Barèmes!$A$65:$A$148,Barèmes!$C$65:$C$148),0)</f>
        <v>0</v>
      </c>
      <c r="L77" s="131">
        <f ca="1">IF($A77&lt;$D$5+$D$4,0,IF(AND($A77&gt;=$D$5,$A77&lt;=INT($D$8)-1+$D$4),LOOKUP($A77,Retraite!$A$7:$A$47,Retraite!$M$7:$M$47)/LOOKUP($A77,Barèmes!$A$65:$A$148,Barèmes!$C$65:$C$148),IF($A77=INT($D$8+$D$4),(LOOKUP($A77,Retraite!$A$7:$A$47,Retraite!$M$7:$M$47)/LOOKUP($A77,Barèmes!$A$65:$A$148,Barèmes!$C$65:$C$148))*(1-(INT($D$8)+1-$D$8)),0)))</f>
        <v>7826.8969420892563</v>
      </c>
      <c r="M77" s="151">
        <f ca="1">IF($A77&lt;$D$5+$D$4,0,IF(AND($A77&gt;=$D$5,$A77&lt;=INT($D$8)-1+$D$4),LOOKUP($A77,Retraite!$A$7:$A$47,Retraite!$Q$7:$Q$47)/LOOKUP($A77,Barèmes!$A$65:$A$148,Barèmes!$C$65:$C$148),IF($A77=INT($D$8+$D$4),(LOOKUP($A77,Retraite!$A$7:$A$47,Retraite!$Q$7:$Q$47)/LOOKUP($A77,Barèmes!$A$65:$A$148,Barèmes!$C$65:$C$148))*(1-(INT($D$8)+1-$D$8)),0)))</f>
        <v>7036.3803509382415</v>
      </c>
      <c r="N77" s="121">
        <f>IF($A77&lt;$D$5+$D$4,(LOOKUP($A77,Cot_droits!$A$17:$A$68,Cot_droits!$I$17:$I$68)+LOOKUP($A77,Cot_droits!$A$17:$A$68,Cot_droits!$J$17:$J$68)+LOOKUP($A77,Cot_droits!$A$17:$A$68,Cot_droits!$N$17:$N$68))/LOOKUP($A77,Barèmes!$A$65:$A$148,Barèmes!$C$65:$C$148),0)</f>
        <v>0</v>
      </c>
      <c r="O77" s="115"/>
    </row>
    <row r="78" spans="1:15" s="43" customFormat="1" ht="15.75" customHeight="1" x14ac:dyDescent="0.25">
      <c r="A78" s="148">
        <f>TRI_prix!A72</f>
        <v>2077</v>
      </c>
      <c r="B78" s="121">
        <f>Cot_droits!C77/LOOKUP($A78,Barèmes!$A$65:$A$148,Barèmes!$C$65:$C$148)</f>
        <v>0</v>
      </c>
      <c r="C78" s="135"/>
      <c r="D78" s="131">
        <f ca="1">IF($A78&lt;$D$5+$D$4,0,IF(AND($A78&gt;=$D$5,$A78&lt;=INT($D$8)-1+$D$4),LOOKUP($A78,Retraite!$A$7:$A$47,Retraite!$K$7:$K$47)/LOOKUP($A78,Barèmes!$A$65:$A$148,Barèmes!$C$65:$C$148),IF($A78=INT($D$8+$D$4),(LOOKUP($A78,Retraite!$A$7:$A$47,Retraite!$K$7:$K$47)/LOOKUP($A78,Barèmes!$A$65:$A$148,Barèmes!$C$65:$C$148))*(1-(INT($D$8)+1-$D$8)),0)))</f>
        <v>33945.015482244147</v>
      </c>
      <c r="E78" s="151">
        <f ca="1">IF($A78&lt;$D$5+$D$4,0,IF(AND($A78&gt;=$D$5,$A78&lt;=INT($D$8)-1+$D$4),LOOKUP($A78,Retraite!$A$7:$A$47,Retraite!$N$7:$N$47)/LOOKUP($A78,Barèmes!$A$65:$A$148,Barèmes!$C$65:$C$148),IF($A78=INT($D$8+$D$4),(LOOKUP($A78,Retraite!$A$7:$A$47,Retraite!$N$7:$N$47)/LOOKUP($A78,Barèmes!$A$65:$A$148,Barèmes!$C$65:$C$148))*(1-(INT($D$8)+1-$D$8)),0)))</f>
        <v>30777.624912049374</v>
      </c>
      <c r="F78" s="121">
        <f>IF($A78&lt;$D$5+$D$4,LOOKUP($A78,Cot_droits!$A$17:$A$68,Cot_droits!$Q$17:$Q$68)/LOOKUP($A78,Barèmes!$A$65:$A$148,Barèmes!$C$65:$C$148),0)</f>
        <v>0</v>
      </c>
      <c r="G78" s="115"/>
      <c r="H78" s="131">
        <f>IF($A78&lt;$D$5+$D$4,0,IF(AND($A78&gt;=$D$5,$A78&lt;=INT($D$8)-1+$D$4),LOOKUP($A78,Retraite!$A$7:$A$47,Retraite!$L$7:$L$47)/LOOKUP($A78,Barèmes!$A$65:$A$148,Barèmes!$C$65:$C$148),IF($A78=INT($D$8+$D$4),(LOOKUP($A78,Retraite!$A$7:$A$47,Retraite!$L$7:$L$47)/LOOKUP($A78,Barèmes!$A$65:$A$148,Barèmes!$C$65:$C$148))*(1-(INT($D$8)+1-$D$8)),0)))</f>
        <v>26105.59935118855</v>
      </c>
      <c r="I78" s="151">
        <f ca="1">IF($A78&lt;$D$5+$D$4,0,IF(AND($A78&gt;=$D$5,$A78&lt;=INT($D$8)-1+$D$4),LOOKUP($A78,Retraite!$A$7:$A$47,Retraite!$P$7:$P$47)/LOOKUP($A78,Barèmes!$A$65:$A$148,Barèmes!$C$65:$C$148),IF($A78=INT($D$8+$D$4),(LOOKUP($A78,Retraite!$A$7:$A$47,Retraite!$P$7:$P$47)/LOOKUP($A78,Barèmes!$A$65:$A$148,Barèmes!$C$65:$C$148))*(1-(INT($D$8)+1-$D$8)),0)))</f>
        <v>23729.989810230392</v>
      </c>
      <c r="J78" s="121">
        <f>IF($A78&lt;$D$5+$D$4,(LOOKUP($A78,Cot_droits!$A$17:$A$68,Cot_droits!$H$17:$H$68)+LOOKUP($A78,Cot_droits!$A$17:$A$68,Cot_droits!$L$17:$L$68))/LOOKUP($A78,Barèmes!$A$65:$A$148,Barèmes!$C$65:$C$148),0)</f>
        <v>0</v>
      </c>
      <c r="L78" s="131">
        <f ca="1">IF($A78&lt;$D$5+$D$4,0,IF(AND($A78&gt;=$D$5,$A78&lt;=INT($D$8)-1+$D$4),LOOKUP($A78,Retraite!$A$7:$A$47,Retraite!$M$7:$M$47)/LOOKUP($A78,Barèmes!$A$65:$A$148,Barèmes!$C$65:$C$148),IF($A78=INT($D$8+$D$4),(LOOKUP($A78,Retraite!$A$7:$A$47,Retraite!$M$7:$M$47)/LOOKUP($A78,Barèmes!$A$65:$A$148,Barèmes!$C$65:$C$148))*(1-(INT($D$8)+1-$D$8)),0)))</f>
        <v>7839.4161310555955</v>
      </c>
      <c r="M78" s="151">
        <f ca="1">IF($A78&lt;$D$5+$D$4,0,IF(AND($A78&gt;=$D$5,$A78&lt;=INT($D$8)-1+$D$4),LOOKUP($A78,Retraite!$A$7:$A$47,Retraite!$Q$7:$Q$47)/LOOKUP($A78,Barèmes!$A$65:$A$148,Barèmes!$C$65:$C$148),IF($A78=INT($D$8+$D$4),(LOOKUP($A78,Retraite!$A$7:$A$47,Retraite!$Q$7:$Q$47)/LOOKUP($A78,Barèmes!$A$65:$A$148,Barèmes!$C$65:$C$148))*(1-(INT($D$8)+1-$D$8)),0)))</f>
        <v>7047.6351018189807</v>
      </c>
      <c r="N78" s="121">
        <f>IF($A78&lt;$D$5+$D$4,(LOOKUP($A78,Cot_droits!$A$17:$A$68,Cot_droits!$I$17:$I$68)+LOOKUP($A78,Cot_droits!$A$17:$A$68,Cot_droits!$J$17:$J$68)+LOOKUP($A78,Cot_droits!$A$17:$A$68,Cot_droits!$N$17:$N$68))/LOOKUP($A78,Barèmes!$A$65:$A$148,Barèmes!$C$65:$C$148),0)</f>
        <v>0</v>
      </c>
      <c r="O78" s="115"/>
    </row>
    <row r="79" spans="1:15" s="43" customFormat="1" ht="15.75" customHeight="1" x14ac:dyDescent="0.25">
      <c r="A79" s="148">
        <f>TRI_prix!A73</f>
        <v>2078</v>
      </c>
      <c r="B79" s="121">
        <f>Cot_droits!C78/LOOKUP($A79,Barèmes!$A$65:$A$148,Barèmes!$C$65:$C$148)</f>
        <v>0</v>
      </c>
      <c r="C79" s="135"/>
      <c r="D79" s="131">
        <f ca="1">IF($A79&lt;$D$5+$D$4,0,IF(AND($A79&gt;=$D$5,$A79&lt;=INT($D$8)-1+$D$4),LOOKUP($A79,Retraite!$A$7:$A$47,Retraite!$K$7:$K$47)/LOOKUP($A79,Barèmes!$A$65:$A$148,Barèmes!$C$65:$C$148),IF($A79=INT($D$8+$D$4),(LOOKUP($A79,Retraite!$A$7:$A$47,Retraite!$K$7:$K$47)/LOOKUP($A79,Barèmes!$A$65:$A$148,Barèmes!$C$65:$C$148))*(1-(INT($D$8)+1-$D$8)),0)))</f>
        <v>33957.554695760897</v>
      </c>
      <c r="E79" s="151">
        <f ca="1">IF($A79&lt;$D$5+$D$4,0,IF(AND($A79&gt;=$D$5,$A79&lt;=INT($D$8)-1+$D$4),LOOKUP($A79,Retraite!$A$7:$A$47,Retraite!$N$7:$N$47)/LOOKUP($A79,Barèmes!$A$65:$A$148,Barèmes!$C$65:$C$148),IF($A79=INT($D$8+$D$4),(LOOKUP($A79,Retraite!$A$7:$A$47,Retraite!$N$7:$N$47)/LOOKUP($A79,Barèmes!$A$65:$A$148,Barèmes!$C$65:$C$148))*(1-(INT($D$8)+1-$D$8)),0)))</f>
        <v>30788.897665000932</v>
      </c>
      <c r="F79" s="121">
        <f>IF($A79&lt;$D$5+$D$4,LOOKUP($A79,Cot_droits!$A$17:$A$68,Cot_droits!$Q$17:$Q$68)/LOOKUP($A79,Barèmes!$A$65:$A$148,Barèmes!$C$65:$C$148),0)</f>
        <v>0</v>
      </c>
      <c r="G79" s="115"/>
      <c r="H79" s="131">
        <f>IF($A79&lt;$D$5+$D$4,0,IF(AND($A79&gt;=$D$5,$A79&lt;=INT($D$8)-1+$D$4),LOOKUP($A79,Retraite!$A$7:$A$47,Retraite!$L$7:$L$47)/LOOKUP($A79,Barèmes!$A$65:$A$148,Barèmes!$C$65:$C$148),IF($A79=INT($D$8+$D$4),(LOOKUP($A79,Retraite!$A$7:$A$47,Retraite!$L$7:$L$47)/LOOKUP($A79,Barèmes!$A$65:$A$148,Barèmes!$C$65:$C$148))*(1-(INT($D$8)+1-$D$8)),0)))</f>
        <v>26105.59935118855</v>
      </c>
      <c r="I79" s="151">
        <f ca="1">IF($A79&lt;$D$5+$D$4,0,IF(AND($A79&gt;=$D$5,$A79&lt;=INT($D$8)-1+$D$4),LOOKUP($A79,Retraite!$A$7:$A$47,Retraite!$P$7:$P$47)/LOOKUP($A79,Barèmes!$A$65:$A$148,Barèmes!$C$65:$C$148),IF($A79=INT($D$8+$D$4),(LOOKUP($A79,Retraite!$A$7:$A$47,Retraite!$P$7:$P$47)/LOOKUP($A79,Barèmes!$A$65:$A$148,Barèmes!$C$65:$C$148))*(1-(INT($D$8)+1-$D$8)),0)))</f>
        <v>23729.989810230392</v>
      </c>
      <c r="J79" s="121">
        <f>IF($A79&lt;$D$5+$D$4,(LOOKUP($A79,Cot_droits!$A$17:$A$68,Cot_droits!$H$17:$H$68)+LOOKUP($A79,Cot_droits!$A$17:$A$68,Cot_droits!$L$17:$L$68))/LOOKUP($A79,Barèmes!$A$65:$A$148,Barèmes!$C$65:$C$148),0)</f>
        <v>0</v>
      </c>
      <c r="L79" s="131">
        <f ca="1">IF($A79&lt;$D$5+$D$4,0,IF(AND($A79&gt;=$D$5,$A79&lt;=INT($D$8)-1+$D$4),LOOKUP($A79,Retraite!$A$7:$A$47,Retraite!$M$7:$M$47)/LOOKUP($A79,Barèmes!$A$65:$A$148,Barèmes!$C$65:$C$148),IF($A79=INT($D$8+$D$4),(LOOKUP($A79,Retraite!$A$7:$A$47,Retraite!$M$7:$M$47)/LOOKUP($A79,Barèmes!$A$65:$A$148,Barèmes!$C$65:$C$148))*(1-(INT($D$8)+1-$D$8)),0)))</f>
        <v>7851.9553445723441</v>
      </c>
      <c r="M79" s="151">
        <f ca="1">IF($A79&lt;$D$5+$D$4,0,IF(AND($A79&gt;=$D$5,$A79&lt;=INT($D$8)-1+$D$4),LOOKUP($A79,Retraite!$A$7:$A$47,Retraite!$Q$7:$Q$47)/LOOKUP($A79,Barèmes!$A$65:$A$148,Barèmes!$C$65:$C$148),IF($A79=INT($D$8+$D$4),(LOOKUP($A79,Retraite!$A$7:$A$47,Retraite!$Q$7:$Q$47)/LOOKUP($A79,Barèmes!$A$65:$A$148,Barèmes!$C$65:$C$148))*(1-(INT($D$8)+1-$D$8)),0)))</f>
        <v>7058.9078547705376</v>
      </c>
      <c r="N79" s="121">
        <f>IF($A79&lt;$D$5+$D$4,(LOOKUP($A79,Cot_droits!$A$17:$A$68,Cot_droits!$I$17:$I$68)+LOOKUP($A79,Cot_droits!$A$17:$A$68,Cot_droits!$J$17:$J$68)+LOOKUP($A79,Cot_droits!$A$17:$A$68,Cot_droits!$N$17:$N$68))/LOOKUP($A79,Barèmes!$A$65:$A$148,Barèmes!$C$65:$C$148),0)</f>
        <v>0</v>
      </c>
      <c r="O79" s="115"/>
    </row>
    <row r="80" spans="1:15" s="43" customFormat="1" ht="15.75" customHeight="1" x14ac:dyDescent="0.25">
      <c r="A80" s="148">
        <f>TRI_prix!A74</f>
        <v>2079</v>
      </c>
      <c r="B80" s="121">
        <f>Cot_droits!C79/LOOKUP($A80,Barèmes!$A$65:$A$148,Barèmes!$C$65:$C$148)</f>
        <v>0</v>
      </c>
      <c r="C80" s="135"/>
      <c r="D80" s="131">
        <f ca="1">IF($A80&lt;$D$5+$D$4,0,IF(AND($A80&gt;=$D$5,$A80&lt;=INT($D$8)-1+$D$4),LOOKUP($A80,Retraite!$A$7:$A$47,Retraite!$K$7:$K$47)/LOOKUP($A80,Barèmes!$A$65:$A$148,Barèmes!$C$65:$C$148),IF($A80=INT($D$8+$D$4),(LOOKUP($A80,Retraite!$A$7:$A$47,Retraite!$K$7:$K$47)/LOOKUP($A80,Barèmes!$A$65:$A$148,Barèmes!$C$65:$C$148))*(1-(INT($D$8)+1-$D$8)),0)))</f>
        <v>33970.113965857498</v>
      </c>
      <c r="E80" s="151">
        <f ca="1">IF($A80&lt;$D$5+$D$4,0,IF(AND($A80&gt;=$D$5,$A80&lt;=INT($D$8)-1+$D$4),LOOKUP($A80,Retraite!$A$7:$A$47,Retraite!$N$7:$N$47)/LOOKUP($A80,Barèmes!$A$65:$A$148,Barèmes!$C$65:$C$148),IF($A80=INT($D$8+$D$4),(LOOKUP($A80,Retraite!$A$7:$A$47,Retraite!$N$7:$N$47)/LOOKUP($A80,Barèmes!$A$65:$A$148,Barèmes!$C$65:$C$148))*(1-(INT($D$8)+1-$D$8)),0)))</f>
        <v>30800.188448817778</v>
      </c>
      <c r="F80" s="121">
        <f>IF($A80&lt;$D$5+$D$4,LOOKUP($A80,Cot_droits!$A$17:$A$68,Cot_droits!$Q$17:$Q$68)/LOOKUP($A80,Barèmes!$A$65:$A$148,Barèmes!$C$65:$C$148),0)</f>
        <v>0</v>
      </c>
      <c r="G80" s="115"/>
      <c r="H80" s="131">
        <f>IF($A80&lt;$D$5+$D$4,0,IF(AND($A80&gt;=$D$5,$A80&lt;=INT($D$8)-1+$D$4),LOOKUP($A80,Retraite!$A$7:$A$47,Retraite!$L$7:$L$47)/LOOKUP($A80,Barèmes!$A$65:$A$148,Barèmes!$C$65:$C$148),IF($A80=INT($D$8+$D$4),(LOOKUP($A80,Retraite!$A$7:$A$47,Retraite!$L$7:$L$47)/LOOKUP($A80,Barèmes!$A$65:$A$148,Barèmes!$C$65:$C$148))*(1-(INT($D$8)+1-$D$8)),0)))</f>
        <v>26105.599351188554</v>
      </c>
      <c r="I80" s="151">
        <f ca="1">IF($A80&lt;$D$5+$D$4,0,IF(AND($A80&gt;=$D$5,$A80&lt;=INT($D$8)-1+$D$4),LOOKUP($A80,Retraite!$A$7:$A$47,Retraite!$P$7:$P$47)/LOOKUP($A80,Barèmes!$A$65:$A$148,Barèmes!$C$65:$C$148),IF($A80=INT($D$8+$D$4),(LOOKUP($A80,Retraite!$A$7:$A$47,Retraite!$P$7:$P$47)/LOOKUP($A80,Barèmes!$A$65:$A$148,Barèmes!$C$65:$C$148))*(1-(INT($D$8)+1-$D$8)),0)))</f>
        <v>23729.9898102304</v>
      </c>
      <c r="J80" s="121">
        <f>IF($A80&lt;$D$5+$D$4,(LOOKUP($A80,Cot_droits!$A$17:$A$68,Cot_droits!$H$17:$H$68)+LOOKUP($A80,Cot_droits!$A$17:$A$68,Cot_droits!$L$17:$L$68))/LOOKUP($A80,Barèmes!$A$65:$A$148,Barèmes!$C$65:$C$148),0)</f>
        <v>0</v>
      </c>
      <c r="L80" s="131">
        <f ca="1">IF($A80&lt;$D$5+$D$4,0,IF(AND($A80&gt;=$D$5,$A80&lt;=INT($D$8)-1+$D$4),LOOKUP($A80,Retraite!$A$7:$A$47,Retraite!$M$7:$M$47)/LOOKUP($A80,Barèmes!$A$65:$A$148,Barèmes!$C$65:$C$148),IF($A80=INT($D$8+$D$4),(LOOKUP($A80,Retraite!$A$7:$A$47,Retraite!$M$7:$M$47)/LOOKUP($A80,Barèmes!$A$65:$A$148,Barèmes!$C$65:$C$148))*(1-(INT($D$8)+1-$D$8)),0)))</f>
        <v>7864.514614668944</v>
      </c>
      <c r="M80" s="151">
        <f ca="1">IF($A80&lt;$D$5+$D$4,0,IF(AND($A80&gt;=$D$5,$A80&lt;=INT($D$8)-1+$D$4),LOOKUP($A80,Retraite!$A$7:$A$47,Retraite!$Q$7:$Q$47)/LOOKUP($A80,Barèmes!$A$65:$A$148,Barèmes!$C$65:$C$148),IF($A80=INT($D$8+$D$4),(LOOKUP($A80,Retraite!$A$7:$A$47,Retraite!$Q$7:$Q$47)/LOOKUP($A80,Barèmes!$A$65:$A$148,Barèmes!$C$65:$C$148))*(1-(INT($D$8)+1-$D$8)),0)))</f>
        <v>7070.1986385873806</v>
      </c>
      <c r="N80" s="121">
        <f>IF($A80&lt;$D$5+$D$4,(LOOKUP($A80,Cot_droits!$A$17:$A$68,Cot_droits!$I$17:$I$68)+LOOKUP($A80,Cot_droits!$A$17:$A$68,Cot_droits!$J$17:$J$68)+LOOKUP($A80,Cot_droits!$A$17:$A$68,Cot_droits!$N$17:$N$68))/LOOKUP($A80,Barèmes!$A$65:$A$148,Barèmes!$C$65:$C$148),0)</f>
        <v>0</v>
      </c>
      <c r="O80" s="115"/>
    </row>
    <row r="81" spans="1:15" s="43" customFormat="1" ht="15.75" customHeight="1" x14ac:dyDescent="0.25">
      <c r="A81" s="148">
        <f>TRI_prix!A75</f>
        <v>2080</v>
      </c>
      <c r="B81" s="121">
        <f>Cot_droits!C80/LOOKUP($A81,Barèmes!$A$65:$A$148,Barèmes!$C$65:$C$148)</f>
        <v>0</v>
      </c>
      <c r="C81" s="135"/>
      <c r="D81" s="131">
        <f ca="1">IF($A81&lt;$D$5+$D$4,0,IF(AND($A81&gt;=$D$5,$A81&lt;=INT($D$8)-1+$D$4),LOOKUP($A81,Retraite!$A$7:$A$47,Retraite!$K$7:$K$47)/LOOKUP($A81,Barèmes!$A$65:$A$148,Barèmes!$C$65:$C$148),IF($A81=INT($D$8+$D$4),(LOOKUP($A81,Retraite!$A$7:$A$47,Retraite!$K$7:$K$47)/LOOKUP($A81,Barèmes!$A$65:$A$148,Barèmes!$C$65:$C$148))*(1-(INT($D$8)+1-$D$8)),0)))</f>
        <v>33982.693324614622</v>
      </c>
      <c r="E81" s="151">
        <f ca="1">IF($A81&lt;$D$5+$D$4,0,IF(AND($A81&gt;=$D$5,$A81&lt;=INT($D$8)-1+$D$4),LOOKUP($A81,Retraite!$A$7:$A$47,Retraite!$N$7:$N$47)/LOOKUP($A81,Barèmes!$A$65:$A$148,Barèmes!$C$65:$C$148),IF($A81=INT($D$8+$D$4),(LOOKUP($A81,Retraite!$A$7:$A$47,Retraite!$N$7:$N$47)/LOOKUP($A81,Barèmes!$A$65:$A$148,Barèmes!$C$65:$C$148))*(1-(INT($D$8)+1-$D$8)),0)))</f>
        <v>30811.497292340435</v>
      </c>
      <c r="F81" s="121">
        <f>IF($A81&lt;$D$5+$D$4,LOOKUP($A81,Cot_droits!$A$17:$A$68,Cot_droits!$Q$17:$Q$68)/LOOKUP($A81,Barèmes!$A$65:$A$148,Barèmes!$C$65:$C$148),0)</f>
        <v>0</v>
      </c>
      <c r="G81" s="115"/>
      <c r="H81" s="131">
        <f>IF($A81&lt;$D$5+$D$4,0,IF(AND($A81&gt;=$D$5,$A81&lt;=INT($D$8)-1+$D$4),LOOKUP($A81,Retraite!$A$7:$A$47,Retraite!$L$7:$L$47)/LOOKUP($A81,Barèmes!$A$65:$A$148,Barèmes!$C$65:$C$148),IF($A81=INT($D$8+$D$4),(LOOKUP($A81,Retraite!$A$7:$A$47,Retraite!$L$7:$L$47)/LOOKUP($A81,Barèmes!$A$65:$A$148,Barèmes!$C$65:$C$148))*(1-(INT($D$8)+1-$D$8)),0)))</f>
        <v>26105.599351188554</v>
      </c>
      <c r="I81" s="151">
        <f ca="1">IF($A81&lt;$D$5+$D$4,0,IF(AND($A81&gt;=$D$5,$A81&lt;=INT($D$8)-1+$D$4),LOOKUP($A81,Retraite!$A$7:$A$47,Retraite!$P$7:$P$47)/LOOKUP($A81,Barèmes!$A$65:$A$148,Barèmes!$C$65:$C$148),IF($A81=INT($D$8+$D$4),(LOOKUP($A81,Retraite!$A$7:$A$47,Retraite!$P$7:$P$47)/LOOKUP($A81,Barèmes!$A$65:$A$148,Barèmes!$C$65:$C$148))*(1-(INT($D$8)+1-$D$8)),0)))</f>
        <v>23729.989810230396</v>
      </c>
      <c r="J81" s="121">
        <f>IF($A81&lt;$D$5+$D$4,(LOOKUP($A81,Cot_droits!$A$17:$A$68,Cot_droits!$H$17:$H$68)+LOOKUP($A81,Cot_droits!$A$17:$A$68,Cot_droits!$L$17:$L$68))/LOOKUP($A81,Barèmes!$A$65:$A$148,Barèmes!$C$65:$C$148),0)</f>
        <v>0</v>
      </c>
      <c r="L81" s="131">
        <f ca="1">IF($A81&lt;$D$5+$D$4,0,IF(AND($A81&gt;=$D$5,$A81&lt;=INT($D$8)-1+$D$4),LOOKUP($A81,Retraite!$A$7:$A$47,Retraite!$M$7:$M$47)/LOOKUP($A81,Barèmes!$A$65:$A$148,Barèmes!$C$65:$C$148),IF($A81=INT($D$8+$D$4),(LOOKUP($A81,Retraite!$A$7:$A$47,Retraite!$M$7:$M$47)/LOOKUP($A81,Barèmes!$A$65:$A$148,Barèmes!$C$65:$C$148))*(1-(INT($D$8)+1-$D$8)),0)))</f>
        <v>7877.0939734260683</v>
      </c>
      <c r="M81" s="151">
        <f ca="1">IF($A81&lt;$D$5+$D$4,0,IF(AND($A81&gt;=$D$5,$A81&lt;=INT($D$8)-1+$D$4),LOOKUP($A81,Retraite!$A$7:$A$47,Retraite!$Q$7:$Q$47)/LOOKUP($A81,Barèmes!$A$65:$A$148,Barèmes!$C$65:$C$148),IF($A81=INT($D$8+$D$4),(LOOKUP($A81,Retraite!$A$7:$A$47,Retraite!$Q$7:$Q$47)/LOOKUP($A81,Barèmes!$A$65:$A$148,Barèmes!$C$65:$C$148))*(1-(INT($D$8)+1-$D$8)),0)))</f>
        <v>7081.5074821100361</v>
      </c>
      <c r="N81" s="121">
        <f>IF($A81&lt;$D$5+$D$4,(LOOKUP($A81,Cot_droits!$A$17:$A$68,Cot_droits!$I$17:$I$68)+LOOKUP($A81,Cot_droits!$A$17:$A$68,Cot_droits!$J$17:$J$68)+LOOKUP($A81,Cot_droits!$A$17:$A$68,Cot_droits!$N$17:$N$68))/LOOKUP($A81,Barèmes!$A$65:$A$148,Barèmes!$C$65:$C$148),0)</f>
        <v>0</v>
      </c>
      <c r="O81" s="115"/>
    </row>
    <row r="82" spans="1:15" s="43" customFormat="1" ht="15.75" customHeight="1" x14ac:dyDescent="0.25">
      <c r="A82" s="148">
        <f>TRI_prix!A76</f>
        <v>2081</v>
      </c>
      <c r="B82" s="121">
        <f>Cot_droits!C81/LOOKUP($A82,Barèmes!$A$65:$A$148,Barèmes!$C$65:$C$148)</f>
        <v>0</v>
      </c>
      <c r="C82" s="135"/>
      <c r="D82" s="131">
        <f ca="1">IF($A82&lt;$D$5+$D$4,0,IF(AND($A82&gt;=$D$5,$A82&lt;=INT($D$8)-1+$D$4),LOOKUP($A82,Retraite!$A$7:$A$47,Retraite!$K$7:$K$47)/LOOKUP($A82,Barèmes!$A$65:$A$148,Barèmes!$C$65:$C$148),IF($A82=INT($D$8+$D$4),(LOOKUP($A82,Retraite!$A$7:$A$47,Retraite!$K$7:$K$47)/LOOKUP($A82,Barèmes!$A$65:$A$148,Barèmes!$C$65:$C$148))*(1-(INT($D$8)+1-$D$8)),0)))</f>
        <v>33995.292804164252</v>
      </c>
      <c r="E82" s="151">
        <f ca="1">IF($A82&lt;$D$5+$D$4,0,IF(AND($A82&gt;=$D$5,$A82&lt;=INT($D$8)-1+$D$4),LOOKUP($A82,Retraite!$A$7:$A$47,Retraite!$N$7:$N$47)/LOOKUP($A82,Barèmes!$A$65:$A$148,Barèmes!$C$65:$C$148),IF($A82=INT($D$8+$D$4),(LOOKUP($A82,Retraite!$A$7:$A$47,Retraite!$N$7:$N$47)/LOOKUP($A82,Barèmes!$A$65:$A$148,Barèmes!$C$65:$C$148))*(1-(INT($D$8)+1-$D$8)),0)))</f>
        <v>30822.824224455551</v>
      </c>
      <c r="F82" s="121">
        <f>IF($A82&lt;$D$5+$D$4,LOOKUP($A82,Cot_droits!$A$17:$A$68,Cot_droits!$Q$17:$Q$68)/LOOKUP($A82,Barèmes!$A$65:$A$148,Barèmes!$C$65:$C$148),0)</f>
        <v>0</v>
      </c>
      <c r="G82" s="115"/>
      <c r="H82" s="131">
        <f>IF($A82&lt;$D$5+$D$4,0,IF(AND($A82&gt;=$D$5,$A82&lt;=INT($D$8)-1+$D$4),LOOKUP($A82,Retraite!$A$7:$A$47,Retraite!$L$7:$L$47)/LOOKUP($A82,Barèmes!$A$65:$A$148,Barèmes!$C$65:$C$148),IF($A82=INT($D$8+$D$4),(LOOKUP($A82,Retraite!$A$7:$A$47,Retraite!$L$7:$L$47)/LOOKUP($A82,Barèmes!$A$65:$A$148,Barèmes!$C$65:$C$148))*(1-(INT($D$8)+1-$D$8)),0)))</f>
        <v>26105.599351188554</v>
      </c>
      <c r="I82" s="151">
        <f ca="1">IF($A82&lt;$D$5+$D$4,0,IF(AND($A82&gt;=$D$5,$A82&lt;=INT($D$8)-1+$D$4),LOOKUP($A82,Retraite!$A$7:$A$47,Retraite!$P$7:$P$47)/LOOKUP($A82,Barèmes!$A$65:$A$148,Barèmes!$C$65:$C$148),IF($A82=INT($D$8+$D$4),(LOOKUP($A82,Retraite!$A$7:$A$47,Retraite!$P$7:$P$47)/LOOKUP($A82,Barèmes!$A$65:$A$148,Barèmes!$C$65:$C$148))*(1-(INT($D$8)+1-$D$8)),0)))</f>
        <v>23729.989810230396</v>
      </c>
      <c r="J82" s="121">
        <f>IF($A82&lt;$D$5+$D$4,(LOOKUP($A82,Cot_droits!$A$17:$A$68,Cot_droits!$H$17:$H$68)+LOOKUP($A82,Cot_droits!$A$17:$A$68,Cot_droits!$L$17:$L$68))/LOOKUP($A82,Barèmes!$A$65:$A$148,Barèmes!$C$65:$C$148),0)</f>
        <v>0</v>
      </c>
      <c r="L82" s="131">
        <f ca="1">IF($A82&lt;$D$5+$D$4,0,IF(AND($A82&gt;=$D$5,$A82&lt;=INT($D$8)-1+$D$4),LOOKUP($A82,Retraite!$A$7:$A$47,Retraite!$M$7:$M$47)/LOOKUP($A82,Barèmes!$A$65:$A$148,Barèmes!$C$65:$C$148),IF($A82=INT($D$8+$D$4),(LOOKUP($A82,Retraite!$A$7:$A$47,Retraite!$M$7:$M$47)/LOOKUP($A82,Barèmes!$A$65:$A$148,Barèmes!$C$65:$C$148))*(1-(INT($D$8)+1-$D$8)),0)))</f>
        <v>7889.6934529756991</v>
      </c>
      <c r="M82" s="151">
        <f ca="1">IF($A82&lt;$D$5+$D$4,0,IF(AND($A82&gt;=$D$5,$A82&lt;=INT($D$8)-1+$D$4),LOOKUP($A82,Retraite!$A$7:$A$47,Retraite!$Q$7:$Q$47)/LOOKUP($A82,Barèmes!$A$65:$A$148,Barèmes!$C$65:$C$148),IF($A82=INT($D$8+$D$4),(LOOKUP($A82,Retraite!$A$7:$A$47,Retraite!$Q$7:$Q$47)/LOOKUP($A82,Barèmes!$A$65:$A$148,Barèmes!$C$65:$C$148))*(1-(INT($D$8)+1-$D$8)),0)))</f>
        <v>7092.8344142251544</v>
      </c>
      <c r="N82" s="121">
        <f>IF($A82&lt;$D$5+$D$4,(LOOKUP($A82,Cot_droits!$A$17:$A$68,Cot_droits!$I$17:$I$68)+LOOKUP($A82,Cot_droits!$A$17:$A$68,Cot_droits!$J$17:$J$68)+LOOKUP($A82,Cot_droits!$A$17:$A$68,Cot_droits!$N$17:$N$68))/LOOKUP($A82,Barèmes!$A$65:$A$148,Barèmes!$C$65:$C$148),0)</f>
        <v>0</v>
      </c>
      <c r="O82" s="115"/>
    </row>
    <row r="83" spans="1:15" s="43" customFormat="1" ht="15.75" customHeight="1" x14ac:dyDescent="0.25">
      <c r="A83" s="148">
        <f>TRI_prix!A77</f>
        <v>2082</v>
      </c>
      <c r="B83" s="121">
        <f>Cot_droits!C82/LOOKUP($A83,Barèmes!$A$65:$A$148,Barèmes!$C$65:$C$148)</f>
        <v>0</v>
      </c>
      <c r="C83" s="135"/>
      <c r="D83" s="131">
        <f ca="1">IF($A83&lt;$D$5+$D$4,0,IF(AND($A83&gt;=$D$5,$A83&lt;=INT($D$8)-1+$D$4),LOOKUP($A83,Retraite!$A$7:$A$47,Retraite!$K$7:$K$47)/LOOKUP($A83,Barèmes!$A$65:$A$148,Barèmes!$C$65:$C$148),IF($A83=INT($D$8+$D$4),(LOOKUP($A83,Retraite!$A$7:$A$47,Retraite!$K$7:$K$47)/LOOKUP($A83,Barèmes!$A$65:$A$148,Barèmes!$C$65:$C$148))*(1-(INT($D$8)+1-$D$8)),0)))</f>
        <v>34007.912436689774</v>
      </c>
      <c r="E83" s="151">
        <f ca="1">IF($A83&lt;$D$5+$D$4,0,IF(AND($A83&gt;=$D$5,$A83&lt;=INT($D$8)-1+$D$4),LOOKUP($A83,Retraite!$A$7:$A$47,Retraite!$N$7:$N$47)/LOOKUP($A83,Barèmes!$A$65:$A$148,Barèmes!$C$65:$C$148),IF($A83=INT($D$8+$D$4),(LOOKUP($A83,Retraite!$A$7:$A$47,Retraite!$N$7:$N$47)/LOOKUP($A83,Barèmes!$A$65:$A$148,Barèmes!$C$65:$C$148))*(1-(INT($D$8)+1-$D$8)),0)))</f>
        <v>30834.169274095995</v>
      </c>
      <c r="F83" s="121">
        <f>IF($A83&lt;$D$5+$D$4,LOOKUP($A83,Cot_droits!$A$17:$A$68,Cot_droits!$Q$17:$Q$68)/LOOKUP($A83,Barèmes!$A$65:$A$148,Barèmes!$C$65:$C$148),0)</f>
        <v>0</v>
      </c>
      <c r="G83" s="115"/>
      <c r="H83" s="131">
        <f>IF($A83&lt;$D$5+$D$4,0,IF(AND($A83&gt;=$D$5,$A83&lt;=INT($D$8)-1+$D$4),LOOKUP($A83,Retraite!$A$7:$A$47,Retraite!$L$7:$L$47)/LOOKUP($A83,Barèmes!$A$65:$A$148,Barèmes!$C$65:$C$148),IF($A83=INT($D$8+$D$4),(LOOKUP($A83,Retraite!$A$7:$A$47,Retraite!$L$7:$L$47)/LOOKUP($A83,Barèmes!$A$65:$A$148,Barèmes!$C$65:$C$148))*(1-(INT($D$8)+1-$D$8)),0)))</f>
        <v>26105.599351188554</v>
      </c>
      <c r="I83" s="151">
        <f ca="1">IF($A83&lt;$D$5+$D$4,0,IF(AND($A83&gt;=$D$5,$A83&lt;=INT($D$8)-1+$D$4),LOOKUP($A83,Retraite!$A$7:$A$47,Retraite!$P$7:$P$47)/LOOKUP($A83,Barèmes!$A$65:$A$148,Barèmes!$C$65:$C$148),IF($A83=INT($D$8+$D$4),(LOOKUP($A83,Retraite!$A$7:$A$47,Retraite!$P$7:$P$47)/LOOKUP($A83,Barèmes!$A$65:$A$148,Barèmes!$C$65:$C$148))*(1-(INT($D$8)+1-$D$8)),0)))</f>
        <v>23729.9898102304</v>
      </c>
      <c r="J83" s="121">
        <f>IF($A83&lt;$D$5+$D$4,(LOOKUP($A83,Cot_droits!$A$17:$A$68,Cot_droits!$H$17:$H$68)+LOOKUP($A83,Cot_droits!$A$17:$A$68,Cot_droits!$L$17:$L$68))/LOOKUP($A83,Barèmes!$A$65:$A$148,Barèmes!$C$65:$C$148),0)</f>
        <v>0</v>
      </c>
      <c r="L83" s="131">
        <f ca="1">IF($A83&lt;$D$5+$D$4,0,IF(AND($A83&gt;=$D$5,$A83&lt;=INT($D$8)-1+$D$4),LOOKUP($A83,Retraite!$A$7:$A$47,Retraite!$M$7:$M$47)/LOOKUP($A83,Barèmes!$A$65:$A$148,Barèmes!$C$65:$C$148),IF($A83=INT($D$8+$D$4),(LOOKUP($A83,Retraite!$A$7:$A$47,Retraite!$M$7:$M$47)/LOOKUP($A83,Barèmes!$A$65:$A$148,Barèmes!$C$65:$C$148))*(1-(INT($D$8)+1-$D$8)),0)))</f>
        <v>7902.3130855012214</v>
      </c>
      <c r="M83" s="151">
        <f ca="1">IF($A83&lt;$D$5+$D$4,0,IF(AND($A83&gt;=$D$5,$A83&lt;=INT($D$8)-1+$D$4),LOOKUP($A83,Retraite!$A$7:$A$47,Retraite!$Q$7:$Q$47)/LOOKUP($A83,Barèmes!$A$65:$A$148,Barèmes!$C$65:$C$148),IF($A83=INT($D$8+$D$4),(LOOKUP($A83,Retraite!$A$7:$A$47,Retraite!$Q$7:$Q$47)/LOOKUP($A83,Barèmes!$A$65:$A$148,Barèmes!$C$65:$C$148))*(1-(INT($D$8)+1-$D$8)),0)))</f>
        <v>7104.1794638655983</v>
      </c>
      <c r="N83" s="121">
        <f>IF($A83&lt;$D$5+$D$4,(LOOKUP($A83,Cot_droits!$A$17:$A$68,Cot_droits!$I$17:$I$68)+LOOKUP($A83,Cot_droits!$A$17:$A$68,Cot_droits!$J$17:$J$68)+LOOKUP($A83,Cot_droits!$A$17:$A$68,Cot_droits!$N$17:$N$68))/LOOKUP($A83,Barèmes!$A$65:$A$148,Barèmes!$C$65:$C$148),0)</f>
        <v>0</v>
      </c>
      <c r="O83" s="115"/>
    </row>
    <row r="84" spans="1:15" s="43" customFormat="1" ht="15.75" customHeight="1" x14ac:dyDescent="0.25">
      <c r="A84" s="148">
        <f>TRI_prix!A78</f>
        <v>2083</v>
      </c>
      <c r="B84" s="121">
        <f>Cot_droits!C83/LOOKUP($A84,Barèmes!$A$65:$A$148,Barèmes!$C$65:$C$148)</f>
        <v>0</v>
      </c>
      <c r="C84" s="135"/>
      <c r="D84" s="131">
        <f ca="1">IF($A84&lt;$D$5+$D$4,0,IF(AND($A84&gt;=$D$5,$A84&lt;=INT($D$8)-1+$D$4),LOOKUP($A84,Retraite!$A$7:$A$47,Retraite!$K$7:$K$47)/LOOKUP($A84,Barèmes!$A$65:$A$148,Barèmes!$C$65:$C$148),IF($A84=INT($D$8+$D$4),(LOOKUP($A84,Retraite!$A$7:$A$47,Retraite!$K$7:$K$47)/LOOKUP($A84,Barèmes!$A$65:$A$148,Barèmes!$C$65:$C$148))*(1-(INT($D$8)+1-$D$8)),0)))</f>
        <v>34020.552254426046</v>
      </c>
      <c r="E84" s="151">
        <f ca="1">IF($A84&lt;$D$5+$D$4,0,IF(AND($A84&gt;=$D$5,$A84&lt;=INT($D$8)-1+$D$4),LOOKUP($A84,Retraite!$A$7:$A$47,Retraite!$N$7:$N$47)/LOOKUP($A84,Barèmes!$A$65:$A$148,Barèmes!$C$65:$C$148),IF($A84=INT($D$8+$D$4),(LOOKUP($A84,Retraite!$A$7:$A$47,Retraite!$N$7:$N$47)/LOOKUP($A84,Barèmes!$A$65:$A$148,Barèmes!$C$65:$C$148))*(1-(INT($D$8)+1-$D$8)),0)))</f>
        <v>30845.532470240902</v>
      </c>
      <c r="F84" s="121">
        <f>IF($A84&lt;$D$5+$D$4,LOOKUP($A84,Cot_droits!$A$17:$A$68,Cot_droits!$Q$17:$Q$68)/LOOKUP($A84,Barèmes!$A$65:$A$148,Barèmes!$C$65:$C$148),0)</f>
        <v>0</v>
      </c>
      <c r="G84" s="115"/>
      <c r="H84" s="131">
        <f>IF($A84&lt;$D$5+$D$4,0,IF(AND($A84&gt;=$D$5,$A84&lt;=INT($D$8)-1+$D$4),LOOKUP($A84,Retraite!$A$7:$A$47,Retraite!$L$7:$L$47)/LOOKUP($A84,Barèmes!$A$65:$A$148,Barèmes!$C$65:$C$148),IF($A84=INT($D$8+$D$4),(LOOKUP($A84,Retraite!$A$7:$A$47,Retraite!$L$7:$L$47)/LOOKUP($A84,Barèmes!$A$65:$A$148,Barèmes!$C$65:$C$148))*(1-(INT($D$8)+1-$D$8)),0)))</f>
        <v>26105.599351188554</v>
      </c>
      <c r="I84" s="151">
        <f ca="1">IF($A84&lt;$D$5+$D$4,0,IF(AND($A84&gt;=$D$5,$A84&lt;=INT($D$8)-1+$D$4),LOOKUP($A84,Retraite!$A$7:$A$47,Retraite!$P$7:$P$47)/LOOKUP($A84,Barèmes!$A$65:$A$148,Barèmes!$C$65:$C$148),IF($A84=INT($D$8+$D$4),(LOOKUP($A84,Retraite!$A$7:$A$47,Retraite!$P$7:$P$47)/LOOKUP($A84,Barèmes!$A$65:$A$148,Barèmes!$C$65:$C$148))*(1-(INT($D$8)+1-$D$8)),0)))</f>
        <v>23729.989810230396</v>
      </c>
      <c r="J84" s="121">
        <f>IF($A84&lt;$D$5+$D$4,(LOOKUP($A84,Cot_droits!$A$17:$A$68,Cot_droits!$H$17:$H$68)+LOOKUP($A84,Cot_droits!$A$17:$A$68,Cot_droits!$L$17:$L$68))/LOOKUP($A84,Barèmes!$A$65:$A$148,Barèmes!$C$65:$C$148),0)</f>
        <v>0</v>
      </c>
      <c r="L84" s="131">
        <f ca="1">IF($A84&lt;$D$5+$D$4,0,IF(AND($A84&gt;=$D$5,$A84&lt;=INT($D$8)-1+$D$4),LOOKUP($A84,Retraite!$A$7:$A$47,Retraite!$M$7:$M$47)/LOOKUP($A84,Barèmes!$A$65:$A$148,Barèmes!$C$65:$C$148),IF($A84=INT($D$8+$D$4),(LOOKUP($A84,Retraite!$A$7:$A$47,Retraite!$M$7:$M$47)/LOOKUP($A84,Barèmes!$A$65:$A$148,Barèmes!$C$65:$C$148))*(1-(INT($D$8)+1-$D$8)),0)))</f>
        <v>7914.9529032374876</v>
      </c>
      <c r="M84" s="151">
        <f ca="1">IF($A84&lt;$D$5+$D$4,0,IF(AND($A84&gt;=$D$5,$A84&lt;=INT($D$8)-1+$D$4),LOOKUP($A84,Retraite!$A$7:$A$47,Retraite!$Q$7:$Q$47)/LOOKUP($A84,Barèmes!$A$65:$A$148,Barèmes!$C$65:$C$148),IF($A84=INT($D$8+$D$4),(LOOKUP($A84,Retraite!$A$7:$A$47,Retraite!$Q$7:$Q$47)/LOOKUP($A84,Barèmes!$A$65:$A$148,Barèmes!$C$65:$C$148))*(1-(INT($D$8)+1-$D$8)),0)))</f>
        <v>7115.5426600105011</v>
      </c>
      <c r="N84" s="121">
        <f>IF($A84&lt;$D$5+$D$4,(LOOKUP($A84,Cot_droits!$A$17:$A$68,Cot_droits!$I$17:$I$68)+LOOKUP($A84,Cot_droits!$A$17:$A$68,Cot_droits!$J$17:$J$68)+LOOKUP($A84,Cot_droits!$A$17:$A$68,Cot_droits!$N$17:$N$68))/LOOKUP($A84,Barèmes!$A$65:$A$148,Barèmes!$C$65:$C$148),0)</f>
        <v>0</v>
      </c>
      <c r="O84" s="115"/>
    </row>
    <row r="85" spans="1:15" s="43" customFormat="1" ht="15.75" customHeight="1" x14ac:dyDescent="0.25">
      <c r="A85" s="148">
        <f>TRI_prix!A79</f>
        <v>2084</v>
      </c>
      <c r="B85" s="121">
        <f>Cot_droits!C84/LOOKUP($A85,Barèmes!$A$65:$A$148,Barèmes!$C$65:$C$148)</f>
        <v>0</v>
      </c>
      <c r="C85" s="135"/>
      <c r="D85" s="131">
        <f ca="1">IF($A85&lt;$D$5+$D$4,0,IF(AND($A85&gt;=$D$5,$A85&lt;=INT($D$8)-1+$D$4),LOOKUP($A85,Retraite!$A$7:$A$47,Retraite!$K$7:$K$47)/LOOKUP($A85,Barèmes!$A$65:$A$148,Barèmes!$C$65:$C$148),IF($A85=INT($D$8+$D$4),(LOOKUP($A85,Retraite!$A$7:$A$47,Retraite!$K$7:$K$47)/LOOKUP($A85,Barèmes!$A$65:$A$148,Barèmes!$C$65:$C$148))*(1-(INT($D$8)+1-$D$8)),0)))</f>
        <v>34033.212289659474</v>
      </c>
      <c r="E85" s="151">
        <f ca="1">IF($A85&lt;$D$5+$D$4,0,IF(AND($A85&gt;=$D$5,$A85&lt;=INT($D$8)-1+$D$4),LOOKUP($A85,Retraite!$A$7:$A$47,Retraite!$N$7:$N$47)/LOOKUP($A85,Barèmes!$A$65:$A$148,Barèmes!$C$65:$C$148),IF($A85=INT($D$8+$D$4),(LOOKUP($A85,Retraite!$A$7:$A$47,Retraite!$N$7:$N$47)/LOOKUP($A85,Barèmes!$A$65:$A$148,Barèmes!$C$65:$C$148))*(1-(INT($D$8)+1-$D$8)),0)))</f>
        <v>30856.913841915753</v>
      </c>
      <c r="F85" s="121">
        <f>IF($A85&lt;$D$5+$D$4,LOOKUP($A85,Cot_droits!$A$17:$A$68,Cot_droits!$Q$17:$Q$68)/LOOKUP($A85,Barèmes!$A$65:$A$148,Barèmes!$C$65:$C$148),0)</f>
        <v>0</v>
      </c>
      <c r="G85" s="115"/>
      <c r="H85" s="131">
        <f>IF($A85&lt;$D$5+$D$4,0,IF(AND($A85&gt;=$D$5,$A85&lt;=INT($D$8)-1+$D$4),LOOKUP($A85,Retraite!$A$7:$A$47,Retraite!$L$7:$L$47)/LOOKUP($A85,Barèmes!$A$65:$A$148,Barèmes!$C$65:$C$148),IF($A85=INT($D$8+$D$4),(LOOKUP($A85,Retraite!$A$7:$A$47,Retraite!$L$7:$L$47)/LOOKUP($A85,Barèmes!$A$65:$A$148,Barèmes!$C$65:$C$148))*(1-(INT($D$8)+1-$D$8)),0)))</f>
        <v>26105.59935118855</v>
      </c>
      <c r="I85" s="151">
        <f ca="1">IF($A85&lt;$D$5+$D$4,0,IF(AND($A85&gt;=$D$5,$A85&lt;=INT($D$8)-1+$D$4),LOOKUP($A85,Retraite!$A$7:$A$47,Retraite!$P$7:$P$47)/LOOKUP($A85,Barèmes!$A$65:$A$148,Barèmes!$C$65:$C$148),IF($A85=INT($D$8+$D$4),(LOOKUP($A85,Retraite!$A$7:$A$47,Retraite!$P$7:$P$47)/LOOKUP($A85,Barèmes!$A$65:$A$148,Barèmes!$C$65:$C$148))*(1-(INT($D$8)+1-$D$8)),0)))</f>
        <v>23729.989810230396</v>
      </c>
      <c r="J85" s="121">
        <f>IF($A85&lt;$D$5+$D$4,(LOOKUP($A85,Cot_droits!$A$17:$A$68,Cot_droits!$H$17:$H$68)+LOOKUP($A85,Cot_droits!$A$17:$A$68,Cot_droits!$L$17:$L$68))/LOOKUP($A85,Barèmes!$A$65:$A$148,Barèmes!$C$65:$C$148),0)</f>
        <v>0</v>
      </c>
      <c r="L85" s="131">
        <f ca="1">IF($A85&lt;$D$5+$D$4,0,IF(AND($A85&gt;=$D$5,$A85&lt;=INT($D$8)-1+$D$4),LOOKUP($A85,Retraite!$A$7:$A$47,Retraite!$M$7:$M$47)/LOOKUP($A85,Barèmes!$A$65:$A$148,Barèmes!$C$65:$C$148),IF($A85=INT($D$8+$D$4),(LOOKUP($A85,Retraite!$A$7:$A$47,Retraite!$M$7:$M$47)/LOOKUP($A85,Barèmes!$A$65:$A$148,Barèmes!$C$65:$C$148))*(1-(INT($D$8)+1-$D$8)),0)))</f>
        <v>7927.612938470922</v>
      </c>
      <c r="M85" s="151">
        <f ca="1">IF($A85&lt;$D$5+$D$4,0,IF(AND($A85&gt;=$D$5,$A85&lt;=INT($D$8)-1+$D$4),LOOKUP($A85,Retraite!$A$7:$A$47,Retraite!$Q$7:$Q$47)/LOOKUP($A85,Barèmes!$A$65:$A$148,Barèmes!$C$65:$C$148),IF($A85=INT($D$8+$D$4),(LOOKUP($A85,Retraite!$A$7:$A$47,Retraite!$Q$7:$Q$47)/LOOKUP($A85,Barèmes!$A$65:$A$148,Barèmes!$C$65:$C$148))*(1-(INT($D$8)+1-$D$8)),0)))</f>
        <v>7126.9240316853593</v>
      </c>
      <c r="N85" s="121">
        <f>IF($A85&lt;$D$5+$D$4,(LOOKUP($A85,Cot_droits!$A$17:$A$68,Cot_droits!$I$17:$I$68)+LOOKUP($A85,Cot_droits!$A$17:$A$68,Cot_droits!$J$17:$J$68)+LOOKUP($A85,Cot_droits!$A$17:$A$68,Cot_droits!$N$17:$N$68))/LOOKUP($A85,Barèmes!$A$65:$A$148,Barèmes!$C$65:$C$148),0)</f>
        <v>0</v>
      </c>
      <c r="O85" s="115"/>
    </row>
    <row r="86" spans="1:15" s="43" customFormat="1" ht="15.75" customHeight="1" x14ac:dyDescent="0.25">
      <c r="A86" s="148">
        <f>TRI_prix!A80</f>
        <v>2085</v>
      </c>
      <c r="B86" s="121">
        <f>Cot_droits!C85/LOOKUP($A86,Barèmes!$A$65:$A$148,Barèmes!$C$65:$C$148)</f>
        <v>0</v>
      </c>
      <c r="C86" s="135"/>
      <c r="D86" s="131">
        <f ca="1">IF($A86&lt;$D$5+$D$4,0,IF(AND($A86&gt;=$D$5,$A86&lt;=INT($D$8)-1+$D$4),LOOKUP($A86,Retraite!$A$7:$A$47,Retraite!$K$7:$K$47)/LOOKUP($A86,Barèmes!$A$65:$A$148,Barèmes!$C$65:$C$148),IF($A86=INT($D$8+$D$4),(LOOKUP($A86,Retraite!$A$7:$A$47,Retraite!$K$7:$K$47)/LOOKUP($A86,Barèmes!$A$65:$A$148,Barèmes!$C$65:$C$148))*(1-(INT($D$8)+1-$D$8)),0)))</f>
        <v>34045.892574728132</v>
      </c>
      <c r="E86" s="151">
        <f ca="1">IF($A86&lt;$D$5+$D$4,0,IF(AND($A86&gt;=$D$5,$A86&lt;=INT($D$8)-1+$D$4),LOOKUP($A86,Retraite!$A$7:$A$47,Retraite!$N$7:$N$47)/LOOKUP($A86,Barèmes!$A$65:$A$148,Barèmes!$C$65:$C$148),IF($A86=INT($D$8+$D$4),(LOOKUP($A86,Retraite!$A$7:$A$47,Retraite!$N$7:$N$47)/LOOKUP($A86,Barèmes!$A$65:$A$148,Barèmes!$C$65:$C$148))*(1-(INT($D$8)+1-$D$8)),0)))</f>
        <v>30868.313418192476</v>
      </c>
      <c r="F86" s="121">
        <f>IF($A86&lt;$D$5+$D$4,LOOKUP($A86,Cot_droits!$A$17:$A$68,Cot_droits!$Q$17:$Q$68)/LOOKUP($A86,Barèmes!$A$65:$A$148,Barèmes!$C$65:$C$148),0)</f>
        <v>0</v>
      </c>
      <c r="G86" s="115"/>
      <c r="H86" s="131">
        <f>IF($A86&lt;$D$5+$D$4,0,IF(AND($A86&gt;=$D$5,$A86&lt;=INT($D$8)-1+$D$4),LOOKUP($A86,Retraite!$A$7:$A$47,Retraite!$L$7:$L$47)/LOOKUP($A86,Barèmes!$A$65:$A$148,Barèmes!$C$65:$C$148),IF($A86=INT($D$8+$D$4),(LOOKUP($A86,Retraite!$A$7:$A$47,Retraite!$L$7:$L$47)/LOOKUP($A86,Barèmes!$A$65:$A$148,Barèmes!$C$65:$C$148))*(1-(INT($D$8)+1-$D$8)),0)))</f>
        <v>26105.59935118855</v>
      </c>
      <c r="I86" s="151">
        <f ca="1">IF($A86&lt;$D$5+$D$4,0,IF(AND($A86&gt;=$D$5,$A86&lt;=INT($D$8)-1+$D$4),LOOKUP($A86,Retraite!$A$7:$A$47,Retraite!$P$7:$P$47)/LOOKUP($A86,Barèmes!$A$65:$A$148,Barèmes!$C$65:$C$148),IF($A86=INT($D$8+$D$4),(LOOKUP($A86,Retraite!$A$7:$A$47,Retraite!$P$7:$P$47)/LOOKUP($A86,Barèmes!$A$65:$A$148,Barèmes!$C$65:$C$148))*(1-(INT($D$8)+1-$D$8)),0)))</f>
        <v>23729.989810230392</v>
      </c>
      <c r="J86" s="121">
        <f>IF($A86&lt;$D$5+$D$4,(LOOKUP($A86,Cot_droits!$A$17:$A$68,Cot_droits!$H$17:$H$68)+LOOKUP($A86,Cot_droits!$A$17:$A$68,Cot_droits!$L$17:$L$68))/LOOKUP($A86,Barèmes!$A$65:$A$148,Barèmes!$C$65:$C$148),0)</f>
        <v>0</v>
      </c>
      <c r="L86" s="131">
        <f ca="1">IF($A86&lt;$D$5+$D$4,0,IF(AND($A86&gt;=$D$5,$A86&lt;=INT($D$8)-1+$D$4),LOOKUP($A86,Retraite!$A$7:$A$47,Retraite!$M$7:$M$47)/LOOKUP($A86,Barèmes!$A$65:$A$148,Barèmes!$C$65:$C$148),IF($A86=INT($D$8+$D$4),(LOOKUP($A86,Retraite!$A$7:$A$47,Retraite!$M$7:$M$47)/LOOKUP($A86,Barèmes!$A$65:$A$148,Barèmes!$C$65:$C$148))*(1-(INT($D$8)+1-$D$8)),0)))</f>
        <v>7940.293223539581</v>
      </c>
      <c r="M86" s="151">
        <f ca="1">IF($A86&lt;$D$5+$D$4,0,IF(AND($A86&gt;=$D$5,$A86&lt;=INT($D$8)-1+$D$4),LOOKUP($A86,Retraite!$A$7:$A$47,Retraite!$Q$7:$Q$47)/LOOKUP($A86,Barèmes!$A$65:$A$148,Barèmes!$C$65:$C$148),IF($A86=INT($D$8+$D$4),(LOOKUP($A86,Retraite!$A$7:$A$47,Retraite!$Q$7:$Q$47)/LOOKUP($A86,Barèmes!$A$65:$A$148,Barèmes!$C$65:$C$148))*(1-(INT($D$8)+1-$D$8)),0)))</f>
        <v>7138.3236079620829</v>
      </c>
      <c r="N86" s="121">
        <f>IF($A86&lt;$D$5+$D$4,(LOOKUP($A86,Cot_droits!$A$17:$A$68,Cot_droits!$I$17:$I$68)+LOOKUP($A86,Cot_droits!$A$17:$A$68,Cot_droits!$J$17:$J$68)+LOOKUP($A86,Cot_droits!$A$17:$A$68,Cot_droits!$N$17:$N$68))/LOOKUP($A86,Barèmes!$A$65:$A$148,Barèmes!$C$65:$C$148),0)</f>
        <v>0</v>
      </c>
      <c r="O86" s="115"/>
    </row>
    <row r="87" spans="1:15" s="43" customFormat="1" ht="15.75" customHeight="1" x14ac:dyDescent="0.25">
      <c r="A87" s="148">
        <f>TRI_prix!A81</f>
        <v>2086</v>
      </c>
      <c r="B87" s="121">
        <f>Cot_droits!C86/LOOKUP($A87,Barèmes!$A$65:$A$148,Barèmes!$C$65:$C$148)</f>
        <v>0</v>
      </c>
      <c r="C87" s="135"/>
      <c r="D87" s="131">
        <f ca="1">IF($A87&lt;$D$5+$D$4,0,IF(AND($A87&gt;=$D$5,$A87&lt;=INT($D$8)-1+$D$4),LOOKUP($A87,Retraite!$A$7:$A$47,Retraite!$K$7:$K$47)/LOOKUP($A87,Barèmes!$A$65:$A$148,Barèmes!$C$65:$C$148),IF($A87=INT($D$8+$D$4),(LOOKUP($A87,Retraite!$A$7:$A$47,Retraite!$K$7:$K$47)/LOOKUP($A87,Barèmes!$A$65:$A$148,Barèmes!$C$65:$C$148))*(1-(INT($D$8)+1-$D$8)),0)))</f>
        <v>34058.593142021797</v>
      </c>
      <c r="E87" s="151">
        <f ca="1">IF($A87&lt;$D$5+$D$4,0,IF(AND($A87&gt;=$D$5,$A87&lt;=INT($D$8)-1+$D$4),LOOKUP($A87,Retraite!$A$7:$A$47,Retraite!$N$7:$N$47)/LOOKUP($A87,Barèmes!$A$65:$A$148,Barèmes!$C$65:$C$148),IF($A87=INT($D$8+$D$4),(LOOKUP($A87,Retraite!$A$7:$A$47,Retraite!$N$7:$N$47)/LOOKUP($A87,Barèmes!$A$65:$A$148,Barèmes!$C$65:$C$148))*(1-(INT($D$8)+1-$D$8)),0)))</f>
        <v>30879.731228189488</v>
      </c>
      <c r="F87" s="121">
        <f>IF($A87&lt;$D$5+$D$4,LOOKUP($A87,Cot_droits!$A$17:$A$68,Cot_droits!$Q$17:$Q$68)/LOOKUP($A87,Barèmes!$A$65:$A$148,Barèmes!$C$65:$C$148),0)</f>
        <v>0</v>
      </c>
      <c r="G87" s="115"/>
      <c r="H87" s="131">
        <f>IF($A87&lt;$D$5+$D$4,0,IF(AND($A87&gt;=$D$5,$A87&lt;=INT($D$8)-1+$D$4),LOOKUP($A87,Retraite!$A$7:$A$47,Retraite!$L$7:$L$47)/LOOKUP($A87,Barèmes!$A$65:$A$148,Barèmes!$C$65:$C$148),IF($A87=INT($D$8+$D$4),(LOOKUP($A87,Retraite!$A$7:$A$47,Retraite!$L$7:$L$47)/LOOKUP($A87,Barèmes!$A$65:$A$148,Barèmes!$C$65:$C$148))*(1-(INT($D$8)+1-$D$8)),0)))</f>
        <v>26105.59935118855</v>
      </c>
      <c r="I87" s="151">
        <f ca="1">IF($A87&lt;$D$5+$D$4,0,IF(AND($A87&gt;=$D$5,$A87&lt;=INT($D$8)-1+$D$4),LOOKUP($A87,Retraite!$A$7:$A$47,Retraite!$P$7:$P$47)/LOOKUP($A87,Barèmes!$A$65:$A$148,Barèmes!$C$65:$C$148),IF($A87=INT($D$8+$D$4),(LOOKUP($A87,Retraite!$A$7:$A$47,Retraite!$P$7:$P$47)/LOOKUP($A87,Barèmes!$A$65:$A$148,Barèmes!$C$65:$C$148))*(1-(INT($D$8)+1-$D$8)),0)))</f>
        <v>23729.989810230392</v>
      </c>
      <c r="J87" s="121">
        <f>IF($A87&lt;$D$5+$D$4,(LOOKUP($A87,Cot_droits!$A$17:$A$68,Cot_droits!$H$17:$H$68)+LOOKUP($A87,Cot_droits!$A$17:$A$68,Cot_droits!$L$17:$L$68))/LOOKUP($A87,Barèmes!$A$65:$A$148,Barèmes!$C$65:$C$148),0)</f>
        <v>0</v>
      </c>
      <c r="L87" s="131">
        <f ca="1">IF($A87&lt;$D$5+$D$4,0,IF(AND($A87&gt;=$D$5,$A87&lt;=INT($D$8)-1+$D$4),LOOKUP($A87,Retraite!$A$7:$A$47,Retraite!$M$7:$M$47)/LOOKUP($A87,Barèmes!$A$65:$A$148,Barèmes!$C$65:$C$148),IF($A87=INT($D$8+$D$4),(LOOKUP($A87,Retraite!$A$7:$A$47,Retraite!$M$7:$M$47)/LOOKUP($A87,Barèmes!$A$65:$A$148,Barèmes!$C$65:$C$148))*(1-(INT($D$8)+1-$D$8)),0)))</f>
        <v>7952.9937908332513</v>
      </c>
      <c r="M87" s="151">
        <f ca="1">IF($A87&lt;$D$5+$D$4,0,IF(AND($A87&gt;=$D$5,$A87&lt;=INT($D$8)-1+$D$4),LOOKUP($A87,Retraite!$A$7:$A$47,Retraite!$Q$7:$Q$47)/LOOKUP($A87,Barèmes!$A$65:$A$148,Barèmes!$C$65:$C$148),IF($A87=INT($D$8+$D$4),(LOOKUP($A87,Retraite!$A$7:$A$47,Retraite!$Q$7:$Q$47)/LOOKUP($A87,Barèmes!$A$65:$A$148,Barèmes!$C$65:$C$148))*(1-(INT($D$8)+1-$D$8)),0)))</f>
        <v>7149.7414179590933</v>
      </c>
      <c r="N87" s="121">
        <f>IF($A87&lt;$D$5+$D$4,(LOOKUP($A87,Cot_droits!$A$17:$A$68,Cot_droits!$I$17:$I$68)+LOOKUP($A87,Cot_droits!$A$17:$A$68,Cot_droits!$J$17:$J$68)+LOOKUP($A87,Cot_droits!$A$17:$A$68,Cot_droits!$N$17:$N$68))/LOOKUP($A87,Barèmes!$A$65:$A$148,Barèmes!$C$65:$C$148),0)</f>
        <v>0</v>
      </c>
      <c r="O87" s="115"/>
    </row>
    <row r="88" spans="1:15" s="43" customFormat="1" ht="15.75" customHeight="1" x14ac:dyDescent="0.25">
      <c r="A88" s="148">
        <f>TRI_prix!A82</f>
        <v>2087</v>
      </c>
      <c r="B88" s="121">
        <f>Cot_droits!C87/LOOKUP($A88,Barèmes!$A$65:$A$148,Barèmes!$C$65:$C$148)</f>
        <v>0</v>
      </c>
      <c r="C88" s="135"/>
      <c r="D88" s="131">
        <f ca="1">IF($A88&lt;$D$5+$D$4,0,IF(AND($A88&gt;=$D$5,$A88&lt;=INT($D$8)-1+$D$4),LOOKUP($A88,Retraite!$A$7:$A$47,Retraite!$K$7:$K$47)/LOOKUP($A88,Barèmes!$A$65:$A$148,Barèmes!$C$65:$C$148),IF($A88=INT($D$8+$D$4),(LOOKUP($A88,Retraite!$A$7:$A$47,Retraite!$K$7:$K$47)/LOOKUP($A88,Barèmes!$A$65:$A$148,Barèmes!$C$65:$C$148))*(1-(INT($D$8)+1-$D$8)),0)))</f>
        <v>34071.314023982071</v>
      </c>
      <c r="E88" s="151">
        <f ca="1">IF($A88&lt;$D$5+$D$4,0,IF(AND($A88&gt;=$D$5,$A88&lt;=INT($D$8)-1+$D$4),LOOKUP($A88,Retraite!$A$7:$A$47,Retraite!$N$7:$N$47)/LOOKUP($A88,Barèmes!$A$65:$A$148,Barèmes!$C$65:$C$148),IF($A88=INT($D$8+$D$4),(LOOKUP($A88,Retraite!$A$7:$A$47,Retraite!$N$7:$N$47)/LOOKUP($A88,Barèmes!$A$65:$A$148,Barèmes!$C$65:$C$148))*(1-(INT($D$8)+1-$D$8)),0)))</f>
        <v>30891.167301071768</v>
      </c>
      <c r="F88" s="121">
        <f>IF($A88&lt;$D$5+$D$4,LOOKUP($A88,Cot_droits!$A$17:$A$68,Cot_droits!$Q$17:$Q$68)/LOOKUP($A88,Barèmes!$A$65:$A$148,Barèmes!$C$65:$C$148),0)</f>
        <v>0</v>
      </c>
      <c r="G88" s="115"/>
      <c r="H88" s="131">
        <f>IF($A88&lt;$D$5+$D$4,0,IF(AND($A88&gt;=$D$5,$A88&lt;=INT($D$8)-1+$D$4),LOOKUP($A88,Retraite!$A$7:$A$47,Retraite!$L$7:$L$47)/LOOKUP($A88,Barèmes!$A$65:$A$148,Barèmes!$C$65:$C$148),IF($A88=INT($D$8+$D$4),(LOOKUP($A88,Retraite!$A$7:$A$47,Retraite!$L$7:$L$47)/LOOKUP($A88,Barèmes!$A$65:$A$148,Barèmes!$C$65:$C$148))*(1-(INT($D$8)+1-$D$8)),0)))</f>
        <v>26105.59935118855</v>
      </c>
      <c r="I88" s="151">
        <f ca="1">IF($A88&lt;$D$5+$D$4,0,IF(AND($A88&gt;=$D$5,$A88&lt;=INT($D$8)-1+$D$4),LOOKUP($A88,Retraite!$A$7:$A$47,Retraite!$P$7:$P$47)/LOOKUP($A88,Barèmes!$A$65:$A$148,Barèmes!$C$65:$C$148),IF($A88=INT($D$8+$D$4),(LOOKUP($A88,Retraite!$A$7:$A$47,Retraite!$P$7:$P$47)/LOOKUP($A88,Barèmes!$A$65:$A$148,Barèmes!$C$65:$C$148))*(1-(INT($D$8)+1-$D$8)),0)))</f>
        <v>23729.989810230389</v>
      </c>
      <c r="J88" s="121">
        <f>IF($A88&lt;$D$5+$D$4,(LOOKUP($A88,Cot_droits!$A$17:$A$68,Cot_droits!$H$17:$H$68)+LOOKUP($A88,Cot_droits!$A$17:$A$68,Cot_droits!$L$17:$L$68))/LOOKUP($A88,Barèmes!$A$65:$A$148,Barèmes!$C$65:$C$148),0)</f>
        <v>0</v>
      </c>
      <c r="L88" s="131">
        <f ca="1">IF($A88&lt;$D$5+$D$4,0,IF(AND($A88&gt;=$D$5,$A88&lt;=INT($D$8)-1+$D$4),LOOKUP($A88,Retraite!$A$7:$A$47,Retraite!$M$7:$M$47)/LOOKUP($A88,Barèmes!$A$65:$A$148,Barèmes!$C$65:$C$148),IF($A88=INT($D$8+$D$4),(LOOKUP($A88,Retraite!$A$7:$A$47,Retraite!$M$7:$M$47)/LOOKUP($A88,Barèmes!$A$65:$A$148,Barèmes!$C$65:$C$148))*(1-(INT($D$8)+1-$D$8)),0)))</f>
        <v>7965.714672793526</v>
      </c>
      <c r="M88" s="151">
        <f ca="1">IF($A88&lt;$D$5+$D$4,0,IF(AND($A88&gt;=$D$5,$A88&lt;=INT($D$8)-1+$D$4),LOOKUP($A88,Retraite!$A$7:$A$47,Retraite!$Q$7:$Q$47)/LOOKUP($A88,Barèmes!$A$65:$A$148,Barèmes!$C$65:$C$148),IF($A88=INT($D$8+$D$4),(LOOKUP($A88,Retraite!$A$7:$A$47,Retraite!$Q$7:$Q$47)/LOOKUP($A88,Barèmes!$A$65:$A$148,Barèmes!$C$65:$C$148))*(1-(INT($D$8)+1-$D$8)),0)))</f>
        <v>7161.1774908413799</v>
      </c>
      <c r="N88" s="121">
        <f>IF($A88&lt;$D$5+$D$4,(LOOKUP($A88,Cot_droits!$A$17:$A$68,Cot_droits!$I$17:$I$68)+LOOKUP($A88,Cot_droits!$A$17:$A$68,Cot_droits!$J$17:$J$68)+LOOKUP($A88,Cot_droits!$A$17:$A$68,Cot_droits!$N$17:$N$68))/LOOKUP($A88,Barèmes!$A$65:$A$148,Barèmes!$C$65:$C$148),0)</f>
        <v>0</v>
      </c>
      <c r="O88" s="115"/>
    </row>
    <row r="89" spans="1:15" s="43" customFormat="1" ht="15.75" customHeight="1" x14ac:dyDescent="0.25">
      <c r="A89" s="148">
        <f>TRI_prix!A83</f>
        <v>2088</v>
      </c>
      <c r="B89" s="121">
        <f>Cot_droits!C88/LOOKUP($A89,Barèmes!$A$65:$A$148,Barèmes!$C$65:$C$148)</f>
        <v>0</v>
      </c>
      <c r="C89" s="135"/>
      <c r="D89" s="131">
        <f ca="1">IF($A89&lt;$D$5+$D$4,0,IF(AND($A89&gt;=$D$5,$A89&lt;=INT($D$8)-1+$D$4),LOOKUP($A89,Retraite!$A$7:$A$47,Retraite!$K$7:$K$47)/LOOKUP($A89,Barèmes!$A$65:$A$148,Barèmes!$C$65:$C$148),IF($A89=INT($D$8+$D$4),(LOOKUP($A89,Retraite!$A$7:$A$47,Retraite!$K$7:$K$47)/LOOKUP($A89,Barèmes!$A$65:$A$148,Barèmes!$C$65:$C$148))*(1-(INT($D$8)+1-$D$8)),0)))</f>
        <v>34084.055253102437</v>
      </c>
      <c r="E89" s="151">
        <f ca="1">IF($A89&lt;$D$5+$D$4,0,IF(AND($A89&gt;=$D$5,$A89&lt;=INT($D$8)-1+$D$4),LOOKUP($A89,Retraite!$A$7:$A$47,Retraite!$N$7:$N$47)/LOOKUP($A89,Barèmes!$A$65:$A$148,Barèmes!$C$65:$C$148),IF($A89=INT($D$8+$D$4),(LOOKUP($A89,Retraite!$A$7:$A$47,Retraite!$N$7:$N$47)/LOOKUP($A89,Barèmes!$A$65:$A$148,Barèmes!$C$65:$C$148))*(1-(INT($D$8)+1-$D$8)),0)))</f>
        <v>30902.621666050974</v>
      </c>
      <c r="F89" s="121">
        <f>IF($A89&lt;$D$5+$D$4,LOOKUP($A89,Cot_droits!$A$17:$A$68,Cot_droits!$Q$17:$Q$68)/LOOKUP($A89,Barèmes!$A$65:$A$148,Barèmes!$C$65:$C$148),0)</f>
        <v>0</v>
      </c>
      <c r="G89" s="115"/>
      <c r="H89" s="131">
        <f>IF($A89&lt;$D$5+$D$4,0,IF(AND($A89&gt;=$D$5,$A89&lt;=INT($D$8)-1+$D$4),LOOKUP($A89,Retraite!$A$7:$A$47,Retraite!$L$7:$L$47)/LOOKUP($A89,Barèmes!$A$65:$A$148,Barèmes!$C$65:$C$148),IF($A89=INT($D$8+$D$4),(LOOKUP($A89,Retraite!$A$7:$A$47,Retraite!$L$7:$L$47)/LOOKUP($A89,Barèmes!$A$65:$A$148,Barèmes!$C$65:$C$148))*(1-(INT($D$8)+1-$D$8)),0)))</f>
        <v>26105.599351188546</v>
      </c>
      <c r="I89" s="151">
        <f ca="1">IF($A89&lt;$D$5+$D$4,0,IF(AND($A89&gt;=$D$5,$A89&lt;=INT($D$8)-1+$D$4),LOOKUP($A89,Retraite!$A$7:$A$47,Retraite!$P$7:$P$47)/LOOKUP($A89,Barèmes!$A$65:$A$148,Barèmes!$C$65:$C$148),IF($A89=INT($D$8+$D$4),(LOOKUP($A89,Retraite!$A$7:$A$47,Retraite!$P$7:$P$47)/LOOKUP($A89,Barèmes!$A$65:$A$148,Barèmes!$C$65:$C$148))*(1-(INT($D$8)+1-$D$8)),0)))</f>
        <v>23729.989810230389</v>
      </c>
      <c r="J89" s="121">
        <f>IF($A89&lt;$D$5+$D$4,(LOOKUP($A89,Cot_droits!$A$17:$A$68,Cot_droits!$H$17:$H$68)+LOOKUP($A89,Cot_droits!$A$17:$A$68,Cot_droits!$L$17:$L$68))/LOOKUP($A89,Barèmes!$A$65:$A$148,Barèmes!$C$65:$C$148),0)</f>
        <v>0</v>
      </c>
      <c r="L89" s="131">
        <f ca="1">IF($A89&lt;$D$5+$D$4,0,IF(AND($A89&gt;=$D$5,$A89&lt;=INT($D$8)-1+$D$4),LOOKUP($A89,Retraite!$A$7:$A$47,Retraite!$M$7:$M$47)/LOOKUP($A89,Barèmes!$A$65:$A$148,Barèmes!$C$65:$C$148),IF($A89=INT($D$8+$D$4),(LOOKUP($A89,Retraite!$A$7:$A$47,Retraite!$M$7:$M$47)/LOOKUP($A89,Barèmes!$A$65:$A$148,Barèmes!$C$65:$C$148))*(1-(INT($D$8)+1-$D$8)),0)))</f>
        <v>7978.4559019138896</v>
      </c>
      <c r="M89" s="151">
        <f ca="1">IF($A89&lt;$D$5+$D$4,0,IF(AND($A89&gt;=$D$5,$A89&lt;=INT($D$8)-1+$D$4),LOOKUP($A89,Retraite!$A$7:$A$47,Retraite!$Q$7:$Q$47)/LOOKUP($A89,Barèmes!$A$65:$A$148,Barèmes!$C$65:$C$148),IF($A89=INT($D$8+$D$4),(LOOKUP($A89,Retraite!$A$7:$A$47,Retraite!$Q$7:$Q$47)/LOOKUP($A89,Barèmes!$A$65:$A$148,Barèmes!$C$65:$C$148))*(1-(INT($D$8)+1-$D$8)),0)))</f>
        <v>7172.6318558205876</v>
      </c>
      <c r="N89" s="121">
        <f>IF($A89&lt;$D$5+$D$4,(LOOKUP($A89,Cot_droits!$A$17:$A$68,Cot_droits!$I$17:$I$68)+LOOKUP($A89,Cot_droits!$A$17:$A$68,Cot_droits!$J$17:$J$68)+LOOKUP($A89,Cot_droits!$A$17:$A$68,Cot_droits!$N$17:$N$68))/LOOKUP($A89,Barèmes!$A$65:$A$148,Barèmes!$C$65:$C$148),0)</f>
        <v>0</v>
      </c>
      <c r="O89" s="115"/>
    </row>
    <row r="90" spans="1:15" s="43" customFormat="1" ht="15.75" customHeight="1" x14ac:dyDescent="0.25">
      <c r="A90" s="148">
        <f>TRI_prix!A84</f>
        <v>2089</v>
      </c>
      <c r="B90" s="121">
        <f>Cot_droits!C89/LOOKUP($A90,Barèmes!$A$65:$A$148,Barèmes!$C$65:$C$148)</f>
        <v>0</v>
      </c>
      <c r="C90" s="135"/>
      <c r="D90" s="131">
        <f ca="1">IF($A90&lt;$D$5+$D$4,0,IF(AND($A90&gt;=$D$5,$A90&lt;=INT($D$8)-1+$D$4),LOOKUP($A90,Retraite!$A$7:$A$47,Retraite!$K$7:$K$47)/LOOKUP($A90,Barèmes!$A$65:$A$148,Barèmes!$C$65:$C$148),IF($A90=INT($D$8+$D$4),(LOOKUP($A90,Retraite!$A$7:$A$47,Retraite!$K$7:$K$47)/LOOKUP($A90,Barèmes!$A$65:$A$148,Barèmes!$C$65:$C$148))*(1-(INT($D$8)+1-$D$8)),0)))</f>
        <v>34096.816861928346</v>
      </c>
      <c r="E90" s="151">
        <f ca="1">IF($A90&lt;$D$5+$D$4,0,IF(AND($A90&gt;=$D$5,$A90&lt;=INT($D$8)-1+$D$4),LOOKUP($A90,Retraite!$A$7:$A$47,Retraite!$N$7:$N$47)/LOOKUP($A90,Barèmes!$A$65:$A$148,Barèmes!$C$65:$C$148),IF($A90=INT($D$8+$D$4),(LOOKUP($A90,Retraite!$A$7:$A$47,Retraite!$N$7:$N$47)/LOOKUP($A90,Barèmes!$A$65:$A$148,Barèmes!$C$65:$C$148))*(1-(INT($D$8)+1-$D$8)),0)))</f>
        <v>30914.094352385473</v>
      </c>
      <c r="F90" s="121">
        <f>IF($A90&lt;$D$5+$D$4,LOOKUP($A90,Cot_droits!$A$17:$A$68,Cot_droits!$Q$17:$Q$68)/LOOKUP($A90,Barèmes!$A$65:$A$148,Barèmes!$C$65:$C$148),0)</f>
        <v>0</v>
      </c>
      <c r="G90" s="115"/>
      <c r="H90" s="131">
        <f>IF($A90&lt;$D$5+$D$4,0,IF(AND($A90&gt;=$D$5,$A90&lt;=INT($D$8)-1+$D$4),LOOKUP($A90,Retraite!$A$7:$A$47,Retraite!$L$7:$L$47)/LOOKUP($A90,Barèmes!$A$65:$A$148,Barèmes!$C$65:$C$148),IF($A90=INT($D$8+$D$4),(LOOKUP($A90,Retraite!$A$7:$A$47,Retraite!$L$7:$L$47)/LOOKUP($A90,Barèmes!$A$65:$A$148,Barèmes!$C$65:$C$148))*(1-(INT($D$8)+1-$D$8)),0)))</f>
        <v>26105.599351188546</v>
      </c>
      <c r="I90" s="151">
        <f ca="1">IF($A90&lt;$D$5+$D$4,0,IF(AND($A90&gt;=$D$5,$A90&lt;=INT($D$8)-1+$D$4),LOOKUP($A90,Retraite!$A$7:$A$47,Retraite!$P$7:$P$47)/LOOKUP($A90,Barèmes!$A$65:$A$148,Barèmes!$C$65:$C$148),IF($A90=INT($D$8+$D$4),(LOOKUP($A90,Retraite!$A$7:$A$47,Retraite!$P$7:$P$47)/LOOKUP($A90,Barèmes!$A$65:$A$148,Barèmes!$C$65:$C$148))*(1-(INT($D$8)+1-$D$8)),0)))</f>
        <v>23729.989810230392</v>
      </c>
      <c r="J90" s="121">
        <f>IF($A90&lt;$D$5+$D$4,(LOOKUP($A90,Cot_droits!$A$17:$A$68,Cot_droits!$H$17:$H$68)+LOOKUP($A90,Cot_droits!$A$17:$A$68,Cot_droits!$L$17:$L$68))/LOOKUP($A90,Barèmes!$A$65:$A$148,Barèmes!$C$65:$C$148),0)</f>
        <v>0</v>
      </c>
      <c r="L90" s="131">
        <f ca="1">IF($A90&lt;$D$5+$D$4,0,IF(AND($A90&gt;=$D$5,$A90&lt;=INT($D$8)-1+$D$4),LOOKUP($A90,Retraite!$A$7:$A$47,Retraite!$M$7:$M$47)/LOOKUP($A90,Barèmes!$A$65:$A$148,Barèmes!$C$65:$C$148),IF($A90=INT($D$8+$D$4),(LOOKUP($A90,Retraite!$A$7:$A$47,Retraite!$M$7:$M$47)/LOOKUP($A90,Barèmes!$A$65:$A$148,Barèmes!$C$65:$C$148))*(1-(INT($D$8)+1-$D$8)),0)))</f>
        <v>7991.2175107397998</v>
      </c>
      <c r="M90" s="151">
        <f ca="1">IF($A90&lt;$D$5+$D$4,0,IF(AND($A90&gt;=$D$5,$A90&lt;=INT($D$8)-1+$D$4),LOOKUP($A90,Retraite!$A$7:$A$47,Retraite!$Q$7:$Q$47)/LOOKUP($A90,Barèmes!$A$65:$A$148,Barèmes!$C$65:$C$148),IF($A90=INT($D$8+$D$4),(LOOKUP($A90,Retraite!$A$7:$A$47,Retraite!$Q$7:$Q$47)/LOOKUP($A90,Barèmes!$A$65:$A$148,Barèmes!$C$65:$C$148))*(1-(INT($D$8)+1-$D$8)),0)))</f>
        <v>7184.1045421550798</v>
      </c>
      <c r="N90" s="121">
        <f>IF($A90&lt;$D$5+$D$4,(LOOKUP($A90,Cot_droits!$A$17:$A$68,Cot_droits!$I$17:$I$68)+LOOKUP($A90,Cot_droits!$A$17:$A$68,Cot_droits!$J$17:$J$68)+LOOKUP($A90,Cot_droits!$A$17:$A$68,Cot_droits!$N$17:$N$68))/LOOKUP($A90,Barèmes!$A$65:$A$148,Barèmes!$C$65:$C$148),0)</f>
        <v>0</v>
      </c>
      <c r="O90" s="115"/>
    </row>
    <row r="91" spans="1:15" s="43" customFormat="1" ht="15.75" customHeight="1" x14ac:dyDescent="0.25">
      <c r="A91" s="148">
        <f>TRI_prix!A85</f>
        <v>2090</v>
      </c>
      <c r="B91" s="121">
        <f>Cot_droits!C90/LOOKUP($A91,Barèmes!$A$65:$A$148,Barèmes!$C$65:$C$148)</f>
        <v>0</v>
      </c>
      <c r="C91" s="135"/>
      <c r="D91" s="131">
        <f ca="1">IF($A91&lt;$D$5+$D$4,0,IF(AND($A91&gt;=$D$5,$A91&lt;=INT($D$8)-1+$D$4),LOOKUP($A91,Retraite!$A$7:$A$47,Retraite!$K$7:$K$47)/LOOKUP($A91,Barèmes!$A$65:$A$148,Barèmes!$C$65:$C$148),IF($A91=INT($D$8+$D$4),(LOOKUP($A91,Retraite!$A$7:$A$47,Retraite!$K$7:$K$47)/LOOKUP($A91,Barèmes!$A$65:$A$148,Barèmes!$C$65:$C$148))*(1-(INT($D$8)+1-$D$8)),0)))</f>
        <v>34109.598883057319</v>
      </c>
      <c r="E91" s="151">
        <f ca="1">IF($A91&lt;$D$5+$D$4,0,IF(AND($A91&gt;=$D$5,$A91&lt;=INT($D$8)-1+$D$4),LOOKUP($A91,Retraite!$A$7:$A$47,Retraite!$N$7:$N$47)/LOOKUP($A91,Barèmes!$A$65:$A$148,Barèmes!$C$65:$C$148),IF($A91=INT($D$8+$D$4),(LOOKUP($A91,Retraite!$A$7:$A$47,Retraite!$N$7:$N$47)/LOOKUP($A91,Barèmes!$A$65:$A$148,Barèmes!$C$65:$C$148))*(1-(INT($D$8)+1-$D$8)),0)))</f>
        <v>30925.58538938042</v>
      </c>
      <c r="F91" s="121">
        <f>IF($A91&lt;$D$5+$D$4,LOOKUP($A91,Cot_droits!$A$17:$A$68,Cot_droits!$Q$17:$Q$68)/LOOKUP($A91,Barèmes!$A$65:$A$148,Barèmes!$C$65:$C$148),0)</f>
        <v>0</v>
      </c>
      <c r="G91" s="115"/>
      <c r="H91" s="131">
        <f>IF($A91&lt;$D$5+$D$4,0,IF(AND($A91&gt;=$D$5,$A91&lt;=INT($D$8)-1+$D$4),LOOKUP($A91,Retraite!$A$7:$A$47,Retraite!$L$7:$L$47)/LOOKUP($A91,Barèmes!$A$65:$A$148,Barèmes!$C$65:$C$148),IF($A91=INT($D$8+$D$4),(LOOKUP($A91,Retraite!$A$7:$A$47,Retraite!$L$7:$L$47)/LOOKUP($A91,Barèmes!$A$65:$A$148,Barèmes!$C$65:$C$148))*(1-(INT($D$8)+1-$D$8)),0)))</f>
        <v>26105.59935118855</v>
      </c>
      <c r="I91" s="151">
        <f ca="1">IF($A91&lt;$D$5+$D$4,0,IF(AND($A91&gt;=$D$5,$A91&lt;=INT($D$8)-1+$D$4),LOOKUP($A91,Retraite!$A$7:$A$47,Retraite!$P$7:$P$47)/LOOKUP($A91,Barèmes!$A$65:$A$148,Barèmes!$C$65:$C$148),IF($A91=INT($D$8+$D$4),(LOOKUP($A91,Retraite!$A$7:$A$47,Retraite!$P$7:$P$47)/LOOKUP($A91,Barèmes!$A$65:$A$148,Barèmes!$C$65:$C$148))*(1-(INT($D$8)+1-$D$8)),0)))</f>
        <v>23729.989810230392</v>
      </c>
      <c r="J91" s="121">
        <f>IF($A91&lt;$D$5+$D$4,(LOOKUP($A91,Cot_droits!$A$17:$A$68,Cot_droits!$H$17:$H$68)+LOOKUP($A91,Cot_droits!$A$17:$A$68,Cot_droits!$L$17:$L$68))/LOOKUP($A91,Barèmes!$A$65:$A$148,Barèmes!$C$65:$C$148),0)</f>
        <v>0</v>
      </c>
      <c r="L91" s="131">
        <f ca="1">IF($A91&lt;$D$5+$D$4,0,IF(AND($A91&gt;=$D$5,$A91&lt;=INT($D$8)-1+$D$4),LOOKUP($A91,Retraite!$A$7:$A$47,Retraite!$M$7:$M$47)/LOOKUP($A91,Barèmes!$A$65:$A$148,Barèmes!$C$65:$C$148),IF($A91=INT($D$8+$D$4),(LOOKUP($A91,Retraite!$A$7:$A$47,Retraite!$M$7:$M$47)/LOOKUP($A91,Barèmes!$A$65:$A$148,Barèmes!$C$65:$C$148))*(1-(INT($D$8)+1-$D$8)),0)))</f>
        <v>8003.9995318687716</v>
      </c>
      <c r="M91" s="151">
        <f ca="1">IF($A91&lt;$D$5+$D$4,0,IF(AND($A91&gt;=$D$5,$A91&lt;=INT($D$8)-1+$D$4),LOOKUP($A91,Retraite!$A$7:$A$47,Retraite!$Q$7:$Q$47)/LOOKUP($A91,Barèmes!$A$65:$A$148,Barèmes!$C$65:$C$148),IF($A91=INT($D$8+$D$4),(LOOKUP($A91,Retraite!$A$7:$A$47,Retraite!$Q$7:$Q$47)/LOOKUP($A91,Barèmes!$A$65:$A$148,Barèmes!$C$65:$C$148))*(1-(INT($D$8)+1-$D$8)),0)))</f>
        <v>7195.5955791500255</v>
      </c>
      <c r="N91" s="121">
        <f>IF($A91&lt;$D$5+$D$4,(LOOKUP($A91,Cot_droits!$A$17:$A$68,Cot_droits!$I$17:$I$68)+LOOKUP($A91,Cot_droits!$A$17:$A$68,Cot_droits!$J$17:$J$68)+LOOKUP($A91,Cot_droits!$A$17:$A$68,Cot_droits!$N$17:$N$68))/LOOKUP($A91,Barèmes!$A$65:$A$148,Barèmes!$C$65:$C$148),0)</f>
        <v>0</v>
      </c>
      <c r="O91" s="115"/>
    </row>
    <row r="92" spans="1:15" s="43" customFormat="1" ht="15.75" customHeight="1" x14ac:dyDescent="0.25">
      <c r="A92" s="148">
        <f>TRI_prix!A86</f>
        <v>2091</v>
      </c>
      <c r="B92" s="121">
        <f>Cot_droits!C91/LOOKUP($A92,Barèmes!$A$65:$A$148,Barèmes!$C$65:$C$148)</f>
        <v>0</v>
      </c>
      <c r="C92" s="135"/>
      <c r="D92" s="131">
        <f ca="1">IF($A92&lt;$D$5+$D$4,0,IF(AND($A92&gt;=$D$5,$A92&lt;=INT($D$8)-1+$D$4),LOOKUP($A92,Retraite!$A$7:$A$47,Retraite!$K$7:$K$47)/LOOKUP($A92,Barèmes!$A$65:$A$148,Barèmes!$C$65:$C$148),IF($A92=INT($D$8+$D$4),(LOOKUP($A92,Retraite!$A$7:$A$47,Retraite!$K$7:$K$47)/LOOKUP($A92,Barèmes!$A$65:$A$148,Barèmes!$C$65:$C$148))*(1-(INT($D$8)+1-$D$8)),0)))</f>
        <v>1818.4875708962268</v>
      </c>
      <c r="E92" s="151">
        <f ca="1">IF($A92&lt;$D$5+$D$4,0,IF(AND($A92&gt;=$D$5,$A92&lt;=INT($D$8)-1+$D$4),LOOKUP($A92,Retraite!$A$7:$A$47,Retraite!$N$7:$N$47)/LOOKUP($A92,Barèmes!$A$65:$A$148,Barèmes!$C$65:$C$148),IF($A92=INT($D$8+$D$4),(LOOKUP($A92,Retraite!$A$7:$A$47,Retraite!$N$7:$N$47)/LOOKUP($A92,Barèmes!$A$65:$A$148,Barèmes!$C$65:$C$148))*(1-(INT($D$8)+1-$D$8)),0)))</f>
        <v>1648.7328019331812</v>
      </c>
      <c r="F92" s="121">
        <f>IF($A92&lt;$D$5+$D$4,LOOKUP($A92,Cot_droits!$A$17:$A$68,Cot_droits!$Q$17:$Q$68)/LOOKUP($A92,Barèmes!$A$65:$A$148,Barèmes!$C$65:$C$148),0)</f>
        <v>0</v>
      </c>
      <c r="G92" s="115"/>
      <c r="H92" s="131">
        <f>IF($A92&lt;$D$5+$D$4,0,IF(AND($A92&gt;=$D$5,$A92&lt;=INT($D$8)-1+$D$4),LOOKUP($A92,Retraite!$A$7:$A$47,Retraite!$L$7:$L$47)/LOOKUP($A92,Barèmes!$A$65:$A$148,Barèmes!$C$65:$C$148),IF($A92=INT($D$8+$D$4),(LOOKUP($A92,Retraite!$A$7:$A$47,Retraite!$L$7:$L$47)/LOOKUP($A92,Barèmes!$A$65:$A$148,Barèmes!$C$65:$C$148))*(1-(INT($D$8)+1-$D$8)),0)))</f>
        <v>1391.2475697473392</v>
      </c>
      <c r="I92" s="151">
        <f ca="1">IF($A92&lt;$D$5+$D$4,0,IF(AND($A92&gt;=$D$5,$A92&lt;=INT($D$8)-1+$D$4),LOOKUP($A92,Retraite!$A$7:$A$47,Retraite!$P$7:$P$47)/LOOKUP($A92,Barèmes!$A$65:$A$148,Barèmes!$C$65:$C$148),IF($A92=INT($D$8+$D$4),(LOOKUP($A92,Retraite!$A$7:$A$47,Retraite!$P$7:$P$47)/LOOKUP($A92,Barèmes!$A$65:$A$148,Barèmes!$C$65:$C$148))*(1-(INT($D$8)+1-$D$8)),0)))</f>
        <v>1264.6440409003312</v>
      </c>
      <c r="J92" s="121">
        <f>IF($A92&lt;$D$5+$D$4,(LOOKUP($A92,Cot_droits!$A$17:$A$68,Cot_droits!$H$17:$H$68)+LOOKUP($A92,Cot_droits!$A$17:$A$68,Cot_droits!$L$17:$L$68))/LOOKUP($A92,Barèmes!$A$65:$A$148,Barèmes!$C$65:$C$148),0)</f>
        <v>0</v>
      </c>
      <c r="L92" s="131">
        <f ca="1">IF($A92&lt;$D$5+$D$4,0,IF(AND($A92&gt;=$D$5,$A92&lt;=INT($D$8)-1+$D$4),LOOKUP($A92,Retraite!$A$7:$A$47,Retraite!$M$7:$M$47)/LOOKUP($A92,Barèmes!$A$65:$A$148,Barèmes!$C$65:$C$148),IF($A92=INT($D$8+$D$4),(LOOKUP($A92,Retraite!$A$7:$A$47,Retraite!$M$7:$M$47)/LOOKUP($A92,Barèmes!$A$65:$A$148,Barèmes!$C$65:$C$148))*(1-(INT($D$8)+1-$D$8)),0)))</f>
        <v>427.24000114888747</v>
      </c>
      <c r="M92" s="151">
        <f ca="1">IF($A92&lt;$D$5+$D$4,0,IF(AND($A92&gt;=$D$5,$A92&lt;=INT($D$8)-1+$D$4),LOOKUP($A92,Retraite!$A$7:$A$47,Retraite!$Q$7:$Q$47)/LOOKUP($A92,Barèmes!$A$65:$A$148,Barèmes!$C$65:$C$148),IF($A92=INT($D$8+$D$4),(LOOKUP($A92,Retraite!$A$7:$A$47,Retraite!$Q$7:$Q$47)/LOOKUP($A92,Barèmes!$A$65:$A$148,Barèmes!$C$65:$C$148))*(1-(INT($D$8)+1-$D$8)),0)))</f>
        <v>384.08876103284985</v>
      </c>
      <c r="N92" s="121">
        <f>IF($A92&lt;$D$5+$D$4,(LOOKUP($A92,Cot_droits!$A$17:$A$68,Cot_droits!$I$17:$I$68)+LOOKUP($A92,Cot_droits!$A$17:$A$68,Cot_droits!$J$17:$J$68)+LOOKUP($A92,Cot_droits!$A$17:$A$68,Cot_droits!$N$17:$N$68))/LOOKUP($A92,Barèmes!$A$65:$A$148,Barèmes!$C$65:$C$148),0)</f>
        <v>0</v>
      </c>
      <c r="O92" s="115"/>
    </row>
    <row r="93" spans="1:15" s="43" customFormat="1" ht="15.75" customHeight="1" x14ac:dyDescent="0.25">
      <c r="A93" s="148">
        <f>TRI_prix!A87</f>
        <v>2092</v>
      </c>
      <c r="B93" s="121">
        <f>Cot_droits!C92/LOOKUP($A93,Barèmes!$A$65:$A$148,Barèmes!$C$65:$C$148)</f>
        <v>0</v>
      </c>
      <c r="C93" s="135"/>
      <c r="D93" s="131">
        <f>IF($A93&lt;$D$5+$D$4,0,IF(AND($A93&gt;=$D$5,$A93&lt;=INT($D$8)-1+$D$4),LOOKUP($A93,Retraite!$A$7:$A$47,Retraite!$K$7:$K$47)/LOOKUP($A93,Barèmes!$A$65:$A$148,Barèmes!$C$65:$C$148),IF($A93=INT($D$8+$D$4),(LOOKUP($A93,Retraite!$A$7:$A$47,Retraite!$K$7:$K$47)/LOOKUP($A93,Barèmes!$A$65:$A$148,Barèmes!$C$65:$C$148))*(1-(INT($D$8)+1-$D$8)),0)))</f>
        <v>0</v>
      </c>
      <c r="E93" s="151">
        <f>IF($A93&lt;$D$5+$D$4,0,IF(AND($A93&gt;=$D$5,$A93&lt;=INT($D$8)-1+$D$4),LOOKUP($A93,Retraite!$A$7:$A$47,Retraite!$N$7:$N$47)/LOOKUP($A93,Barèmes!$A$65:$A$148,Barèmes!$C$65:$C$148),IF($A93=INT($D$8+$D$4),(LOOKUP($A93,Retraite!$A$7:$A$47,Retraite!$N$7:$N$47)/LOOKUP($A93,Barèmes!$A$65:$A$148,Barèmes!$C$65:$C$148))*(1-(INT($D$8)+1-$D$8)),0)))</f>
        <v>0</v>
      </c>
      <c r="F93" s="121">
        <f>IF($A93&lt;$D$5+$D$4,LOOKUP($A93,Cot_droits!$A$17:$A$68,Cot_droits!$Q$17:$Q$68)/LOOKUP($A93,Barèmes!$A$65:$A$148,Barèmes!$C$65:$C$148),0)</f>
        <v>0</v>
      </c>
      <c r="G93" s="115"/>
      <c r="H93" s="131">
        <f>IF($A93&lt;$D$5+$D$4,0,IF(AND($A93&gt;=$D$5,$A93&lt;=INT($D$8)-1+$D$4),LOOKUP($A93,Retraite!$A$7:$A$47,Retraite!$L$7:$L$47)/LOOKUP($A93,Barèmes!$A$65:$A$148,Barèmes!$C$65:$C$148),IF($A93=INT($D$8+$D$4),(LOOKUP($A93,Retraite!$A$7:$A$47,Retraite!$L$7:$L$47)/LOOKUP($A93,Barèmes!$A$65:$A$148,Barèmes!$C$65:$C$148))*(1-(INT($D$8)+1-$D$8)),0)))</f>
        <v>0</v>
      </c>
      <c r="I93" s="151">
        <f>IF($A93&lt;$D$5+$D$4,0,IF(AND($A93&gt;=$D$5,$A93&lt;=INT($D$8)-1+$D$4),LOOKUP($A93,Retraite!$A$7:$A$47,Retraite!$P$7:$P$47)/LOOKUP($A93,Barèmes!$A$65:$A$148,Barèmes!$C$65:$C$148),IF($A93=INT($D$8+$D$4),(LOOKUP($A93,Retraite!$A$7:$A$47,Retraite!$P$7:$P$47)/LOOKUP($A93,Barèmes!$A$65:$A$148,Barèmes!$C$65:$C$148))*(1-(INT($D$8)+1-$D$8)),0)))</f>
        <v>0</v>
      </c>
      <c r="J93" s="121">
        <f>IF($A93&lt;$D$5+$D$4,(LOOKUP($A93,Cot_droits!$A$17:$A$68,Cot_droits!$H$17:$H$68)+LOOKUP($A93,Cot_droits!$A$17:$A$68,Cot_droits!$L$17:$L$68))/LOOKUP($A93,Barèmes!$A$65:$A$148,Barèmes!$C$65:$C$148),0)</f>
        <v>0</v>
      </c>
      <c r="L93" s="131">
        <f>IF($A93&lt;$D$5+$D$4,0,IF(AND($A93&gt;=$D$5,$A93&lt;=INT($D$8)-1+$D$4),LOOKUP($A93,Retraite!$A$7:$A$47,Retraite!$M$7:$M$47)/LOOKUP($A93,Barèmes!$A$65:$A$148,Barèmes!$C$65:$C$148),IF($A93=INT($D$8+$D$4),(LOOKUP($A93,Retraite!$A$7:$A$47,Retraite!$M$7:$M$47)/LOOKUP($A93,Barèmes!$A$65:$A$148,Barèmes!$C$65:$C$148))*(1-(INT($D$8)+1-$D$8)),0)))</f>
        <v>0</v>
      </c>
      <c r="M93" s="151">
        <f>IF($A93&lt;$D$5+$D$4,0,IF(AND($A93&gt;=$D$5,$A93&lt;=INT($D$8)-1+$D$4),LOOKUP($A93,Retraite!$A$7:$A$47,Retraite!$Q$7:$Q$47)/LOOKUP($A93,Barèmes!$A$65:$A$148,Barèmes!$C$65:$C$148),IF($A93=INT($D$8+$D$4),(LOOKUP($A93,Retraite!$A$7:$A$47,Retraite!$Q$7:$Q$47)/LOOKUP($A93,Barèmes!$A$65:$A$148,Barèmes!$C$65:$C$148))*(1-(INT($D$8)+1-$D$8)),0)))</f>
        <v>0</v>
      </c>
      <c r="N93" s="121">
        <f>IF($A93&lt;$D$5+$D$4,(LOOKUP($A93,Cot_droits!$A$17:$A$68,Cot_droits!$I$17:$I$68)+LOOKUP($A93,Cot_droits!$A$17:$A$68,Cot_droits!$J$17:$J$68)+LOOKUP($A93,Cot_droits!$A$17:$A$68,Cot_droits!$N$17:$N$68))/LOOKUP($A93,Barèmes!$A$65:$A$148,Barèmes!$C$65:$C$148),0)</f>
        <v>0</v>
      </c>
      <c r="O93" s="115"/>
    </row>
    <row r="94" spans="1:15" s="43" customFormat="1" ht="15.75" customHeight="1" x14ac:dyDescent="0.25">
      <c r="A94" s="148">
        <f>TRI_prix!A88</f>
        <v>2093</v>
      </c>
      <c r="B94" s="121">
        <f>Cot_droits!C93/LOOKUP($A94,Barèmes!$A$65:$A$148,Barèmes!$C$65:$C$148)</f>
        <v>0</v>
      </c>
      <c r="C94" s="135"/>
      <c r="D94" s="131">
        <f>IF($A94&lt;$D$5+$D$4,0,IF(AND($A94&gt;=$D$5,$A94&lt;=INT($D$8)-1+$D$4),LOOKUP($A94,Retraite!$A$7:$A$47,Retraite!$K$7:$K$47)/LOOKUP($A94,Barèmes!$A$65:$A$148,Barèmes!$C$65:$C$148),IF($A94=INT($D$8+$D$4),(LOOKUP($A94,Retraite!$A$7:$A$47,Retraite!$K$7:$K$47)/LOOKUP($A94,Barèmes!$A$65:$A$148,Barèmes!$C$65:$C$148))*(1-(INT($D$8)+1-$D$8)),0)))</f>
        <v>0</v>
      </c>
      <c r="E94" s="151">
        <f>IF($A94&lt;$D$5+$D$4,0,IF(AND($A94&gt;=$D$5,$A94&lt;=INT($D$8)-1+$D$4),LOOKUP($A94,Retraite!$A$7:$A$47,Retraite!$N$7:$N$47)/LOOKUP($A94,Barèmes!$A$65:$A$148,Barèmes!$C$65:$C$148),IF($A94=INT($D$8+$D$4),(LOOKUP($A94,Retraite!$A$7:$A$47,Retraite!$N$7:$N$47)/LOOKUP($A94,Barèmes!$A$65:$A$148,Barèmes!$C$65:$C$148))*(1-(INT($D$8)+1-$D$8)),0)))</f>
        <v>0</v>
      </c>
      <c r="F94" s="121">
        <f>IF($A94&lt;$D$5+$D$4,LOOKUP($A94,Cot_droits!$A$17:$A$68,Cot_droits!$Q$17:$Q$68)/LOOKUP($A94,Barèmes!$A$65:$A$148,Barèmes!$C$65:$C$148),0)</f>
        <v>0</v>
      </c>
      <c r="G94" s="115"/>
      <c r="H94" s="131">
        <f>IF($A94&lt;$D$5+$D$4,0,IF(AND($A94&gt;=$D$5,$A94&lt;=INT($D$8)-1+$D$4),LOOKUP($A94,Retraite!$A$7:$A$47,Retraite!$L$7:$L$47)/LOOKUP($A94,Barèmes!$A$65:$A$148,Barèmes!$C$65:$C$148),IF($A94=INT($D$8+$D$4),(LOOKUP($A94,Retraite!$A$7:$A$47,Retraite!$L$7:$L$47)/LOOKUP($A94,Barèmes!$A$65:$A$148,Barèmes!$C$65:$C$148))*(1-(INT($D$8)+1-$D$8)),0)))</f>
        <v>0</v>
      </c>
      <c r="I94" s="151">
        <f>IF($A94&lt;$D$5+$D$4,0,IF(AND($A94&gt;=$D$5,$A94&lt;=INT($D$8)-1+$D$4),LOOKUP($A94,Retraite!$A$7:$A$47,Retraite!$P$7:$P$47)/LOOKUP($A94,Barèmes!$A$65:$A$148,Barèmes!$C$65:$C$148),IF($A94=INT($D$8+$D$4),(LOOKUP($A94,Retraite!$A$7:$A$47,Retraite!$P$7:$P$47)/LOOKUP($A94,Barèmes!$A$65:$A$148,Barèmes!$C$65:$C$148))*(1-(INT($D$8)+1-$D$8)),0)))</f>
        <v>0</v>
      </c>
      <c r="J94" s="121">
        <f>IF($A94&lt;$D$5+$D$4,(LOOKUP($A94,Cot_droits!$A$17:$A$68,Cot_droits!$H$17:$H$68)+LOOKUP($A94,Cot_droits!$A$17:$A$68,Cot_droits!$L$17:$L$68))/LOOKUP($A94,Barèmes!$A$65:$A$148,Barèmes!$C$65:$C$148),0)</f>
        <v>0</v>
      </c>
      <c r="L94" s="131">
        <f>IF($A94&lt;$D$5+$D$4,0,IF(AND($A94&gt;=$D$5,$A94&lt;=INT($D$8)-1+$D$4),LOOKUP($A94,Retraite!$A$7:$A$47,Retraite!$M$7:$M$47)/LOOKUP($A94,Barèmes!$A$65:$A$148,Barèmes!$C$65:$C$148),IF($A94=INT($D$8+$D$4),(LOOKUP($A94,Retraite!$A$7:$A$47,Retraite!$M$7:$M$47)/LOOKUP($A94,Barèmes!$A$65:$A$148,Barèmes!$C$65:$C$148))*(1-(INT($D$8)+1-$D$8)),0)))</f>
        <v>0</v>
      </c>
      <c r="M94" s="151">
        <f>IF($A94&lt;$D$5+$D$4,0,IF(AND($A94&gt;=$D$5,$A94&lt;=INT($D$8)-1+$D$4),LOOKUP($A94,Retraite!$A$7:$A$47,Retraite!$Q$7:$Q$47)/LOOKUP($A94,Barèmes!$A$65:$A$148,Barèmes!$C$65:$C$148),IF($A94=INT($D$8+$D$4),(LOOKUP($A94,Retraite!$A$7:$A$47,Retraite!$Q$7:$Q$47)/LOOKUP($A94,Barèmes!$A$65:$A$148,Barèmes!$C$65:$C$148))*(1-(INT($D$8)+1-$D$8)),0)))</f>
        <v>0</v>
      </c>
      <c r="N94" s="121">
        <f>IF($A94&lt;$D$5+$D$4,(LOOKUP($A94,Cot_droits!$A$17:$A$68,Cot_droits!$I$17:$I$68)+LOOKUP($A94,Cot_droits!$A$17:$A$68,Cot_droits!$J$17:$J$68)+LOOKUP($A94,Cot_droits!$A$17:$A$68,Cot_droits!$N$17:$N$68))/LOOKUP($A94,Barèmes!$A$65:$A$148,Barèmes!$C$65:$C$148),0)</f>
        <v>0</v>
      </c>
      <c r="O94" s="115"/>
    </row>
    <row r="95" spans="1:15" s="43" customFormat="1" ht="15.75" customHeight="1" x14ac:dyDescent="0.25">
      <c r="A95" s="148">
        <f>TRI_prix!A89</f>
        <v>2094</v>
      </c>
      <c r="B95" s="121">
        <f>Cot_droits!C94/LOOKUP($A95,Barèmes!$A$65:$A$148,Barèmes!$C$65:$C$148)</f>
        <v>0</v>
      </c>
      <c r="C95" s="135"/>
      <c r="D95" s="131">
        <f>IF($A95&lt;$D$5+$D$4,0,IF(AND($A95&gt;=$D$5,$A95&lt;=INT($D$8)-1+$D$4),LOOKUP($A95,Retraite!$A$7:$A$47,Retraite!$K$7:$K$47)/LOOKUP($A95,Barèmes!$A$65:$A$148,Barèmes!$C$65:$C$148),IF($A95=INT($D$8+$D$4),(LOOKUP($A95,Retraite!$A$7:$A$47,Retraite!$K$7:$K$47)/LOOKUP($A95,Barèmes!$A$65:$A$148,Barèmes!$C$65:$C$148))*(1-(INT($D$8)+1-$D$8)),0)))</f>
        <v>0</v>
      </c>
      <c r="E95" s="151">
        <f>IF($A95&lt;$D$5+$D$4,0,IF(AND($A95&gt;=$D$5,$A95&lt;=INT($D$8)-1+$D$4),LOOKUP($A95,Retraite!$A$7:$A$47,Retraite!$N$7:$N$47)/LOOKUP($A95,Barèmes!$A$65:$A$148,Barèmes!$C$65:$C$148),IF($A95=INT($D$8+$D$4),(LOOKUP($A95,Retraite!$A$7:$A$47,Retraite!$N$7:$N$47)/LOOKUP($A95,Barèmes!$A$65:$A$148,Barèmes!$C$65:$C$148))*(1-(INT($D$8)+1-$D$8)),0)))</f>
        <v>0</v>
      </c>
      <c r="F95" s="121">
        <f>IF($A95&lt;$D$5+$D$4,LOOKUP($A95,Cot_droits!$A$17:$A$68,Cot_droits!$Q$17:$Q$68)/LOOKUP($A95,Barèmes!$A$65:$A$148,Barèmes!$C$65:$C$148),0)</f>
        <v>0</v>
      </c>
      <c r="G95" s="115"/>
      <c r="H95" s="131">
        <f>IF($A95&lt;$D$5+$D$4,0,IF(AND($A95&gt;=$D$5,$A95&lt;=INT($D$8)-1+$D$4),LOOKUP($A95,Retraite!$A$7:$A$47,Retraite!$L$7:$L$47)/LOOKUP($A95,Barèmes!$A$65:$A$148,Barèmes!$C$65:$C$148),IF($A95=INT($D$8+$D$4),(LOOKUP($A95,Retraite!$A$7:$A$47,Retraite!$L$7:$L$47)/LOOKUP($A95,Barèmes!$A$65:$A$148,Barèmes!$C$65:$C$148))*(1-(INT($D$8)+1-$D$8)),0)))</f>
        <v>0</v>
      </c>
      <c r="I95" s="151">
        <f>IF($A95&lt;$D$5+$D$4,0,IF(AND($A95&gt;=$D$5,$A95&lt;=INT($D$8)-1+$D$4),LOOKUP($A95,Retraite!$A$7:$A$47,Retraite!$P$7:$P$47)/LOOKUP($A95,Barèmes!$A$65:$A$148,Barèmes!$C$65:$C$148),IF($A95=INT($D$8+$D$4),(LOOKUP($A95,Retraite!$A$7:$A$47,Retraite!$P$7:$P$47)/LOOKUP($A95,Barèmes!$A$65:$A$148,Barèmes!$C$65:$C$148))*(1-(INT($D$8)+1-$D$8)),0)))</f>
        <v>0</v>
      </c>
      <c r="J95" s="121">
        <f>IF($A95&lt;$D$5+$D$4,(LOOKUP($A95,Cot_droits!$A$17:$A$68,Cot_droits!$H$17:$H$68)+LOOKUP($A95,Cot_droits!$A$17:$A$68,Cot_droits!$L$17:$L$68))/LOOKUP($A95,Barèmes!$A$65:$A$148,Barèmes!$C$65:$C$148),0)</f>
        <v>0</v>
      </c>
      <c r="L95" s="131">
        <f>IF($A95&lt;$D$5+$D$4,0,IF(AND($A95&gt;=$D$5,$A95&lt;=INT($D$8)-1+$D$4),LOOKUP($A95,Retraite!$A$7:$A$47,Retraite!$M$7:$M$47)/LOOKUP($A95,Barèmes!$A$65:$A$148,Barèmes!$C$65:$C$148),IF($A95=INT($D$8+$D$4),(LOOKUP($A95,Retraite!$A$7:$A$47,Retraite!$M$7:$M$47)/LOOKUP($A95,Barèmes!$A$65:$A$148,Barèmes!$C$65:$C$148))*(1-(INT($D$8)+1-$D$8)),0)))</f>
        <v>0</v>
      </c>
      <c r="M95" s="151">
        <f>IF($A95&lt;$D$5+$D$4,0,IF(AND($A95&gt;=$D$5,$A95&lt;=INT($D$8)-1+$D$4),LOOKUP($A95,Retraite!$A$7:$A$47,Retraite!$Q$7:$Q$47)/LOOKUP($A95,Barèmes!$A$65:$A$148,Barèmes!$C$65:$C$148),IF($A95=INT($D$8+$D$4),(LOOKUP($A95,Retraite!$A$7:$A$47,Retraite!$Q$7:$Q$47)/LOOKUP($A95,Barèmes!$A$65:$A$148,Barèmes!$C$65:$C$148))*(1-(INT($D$8)+1-$D$8)),0)))</f>
        <v>0</v>
      </c>
      <c r="N95" s="121">
        <f>IF($A95&lt;$D$5+$D$4,(LOOKUP($A95,Cot_droits!$A$17:$A$68,Cot_droits!$I$17:$I$68)+LOOKUP($A95,Cot_droits!$A$17:$A$68,Cot_droits!$J$17:$J$68)+LOOKUP($A95,Cot_droits!$A$17:$A$68,Cot_droits!$N$17:$N$68))/LOOKUP($A95,Barèmes!$A$65:$A$148,Barèmes!$C$65:$C$148),0)</f>
        <v>0</v>
      </c>
      <c r="O95" s="115"/>
    </row>
    <row r="96" spans="1:15" s="43" customFormat="1" ht="15.75" customHeight="1" x14ac:dyDescent="0.25">
      <c r="A96" s="148">
        <f>TRI_prix!A90</f>
        <v>2095</v>
      </c>
      <c r="B96" s="121">
        <f>Cot_droits!C95/LOOKUP($A96,Barèmes!$A$65:$A$148,Barèmes!$C$65:$C$148)</f>
        <v>0</v>
      </c>
      <c r="C96" s="135"/>
      <c r="D96" s="131">
        <f>IF($A96&lt;$D$5+$D$4,0,IF(AND($A96&gt;=$D$5,$A96&lt;=INT($D$8)-1+$D$4),LOOKUP($A96,Retraite!$A$7:$A$47,Retraite!$K$7:$K$47)/LOOKUP($A96,Barèmes!$A$65:$A$148,Barèmes!$C$65:$C$148),IF($A96=INT($D$8+$D$4),(LOOKUP($A96,Retraite!$A$7:$A$47,Retraite!$K$7:$K$47)/LOOKUP($A96,Barèmes!$A$65:$A$148,Barèmes!$C$65:$C$148))*(1-(INT($D$8)+1-$D$8)),0)))</f>
        <v>0</v>
      </c>
      <c r="E96" s="151">
        <f>IF($A96&lt;$D$5+$D$4,0,IF(AND($A96&gt;=$D$5,$A96&lt;=INT($D$8)-1+$D$4),LOOKUP($A96,Retraite!$A$7:$A$47,Retraite!$N$7:$N$47)/LOOKUP($A96,Barèmes!$A$65:$A$148,Barèmes!$C$65:$C$148),IF($A96=INT($D$8+$D$4),(LOOKUP($A96,Retraite!$A$7:$A$47,Retraite!$N$7:$N$47)/LOOKUP($A96,Barèmes!$A$65:$A$148,Barèmes!$C$65:$C$148))*(1-(INT($D$8)+1-$D$8)),0)))</f>
        <v>0</v>
      </c>
      <c r="F96" s="121">
        <f>IF($A96&lt;$D$5+$D$4,LOOKUP($A96,Cot_droits!$A$17:$A$68,Cot_droits!$Q$17:$Q$68)/LOOKUP($A96,Barèmes!$A$65:$A$148,Barèmes!$C$65:$C$148),0)</f>
        <v>0</v>
      </c>
      <c r="G96" s="115"/>
      <c r="H96" s="131">
        <f>IF($A96&lt;$D$5+$D$4,0,IF(AND($A96&gt;=$D$5,$A96&lt;=INT($D$8)-1+$D$4),LOOKUP($A96,Retraite!$A$7:$A$47,Retraite!$L$7:$L$47)/LOOKUP($A96,Barèmes!$A$65:$A$148,Barèmes!$C$65:$C$148),IF($A96=INT($D$8+$D$4),(LOOKUP($A96,Retraite!$A$7:$A$47,Retraite!$L$7:$L$47)/LOOKUP($A96,Barèmes!$A$65:$A$148,Barèmes!$C$65:$C$148))*(1-(INT($D$8)+1-$D$8)),0)))</f>
        <v>0</v>
      </c>
      <c r="I96" s="151">
        <f>IF($A96&lt;$D$5+$D$4,0,IF(AND($A96&gt;=$D$5,$A96&lt;=INT($D$8)-1+$D$4),LOOKUP($A96,Retraite!$A$7:$A$47,Retraite!$P$7:$P$47)/LOOKUP($A96,Barèmes!$A$65:$A$148,Barèmes!$C$65:$C$148),IF($A96=INT($D$8+$D$4),(LOOKUP($A96,Retraite!$A$7:$A$47,Retraite!$P$7:$P$47)/LOOKUP($A96,Barèmes!$A$65:$A$148,Barèmes!$C$65:$C$148))*(1-(INT($D$8)+1-$D$8)),0)))</f>
        <v>0</v>
      </c>
      <c r="J96" s="121">
        <f>IF($A96&lt;$D$5+$D$4,(LOOKUP($A96,Cot_droits!$A$17:$A$68,Cot_droits!$H$17:$H$68)+LOOKUP($A96,Cot_droits!$A$17:$A$68,Cot_droits!$L$17:$L$68))/LOOKUP($A96,Barèmes!$A$65:$A$148,Barèmes!$C$65:$C$148),0)</f>
        <v>0</v>
      </c>
      <c r="L96" s="131">
        <f>IF($A96&lt;$D$5+$D$4,0,IF(AND($A96&gt;=$D$5,$A96&lt;=INT($D$8)-1+$D$4),LOOKUP($A96,Retraite!$A$7:$A$47,Retraite!$M$7:$M$47)/LOOKUP($A96,Barèmes!$A$65:$A$148,Barèmes!$C$65:$C$148),IF($A96=INT($D$8+$D$4),(LOOKUP($A96,Retraite!$A$7:$A$47,Retraite!$M$7:$M$47)/LOOKUP($A96,Barèmes!$A$65:$A$148,Barèmes!$C$65:$C$148))*(1-(INT($D$8)+1-$D$8)),0)))</f>
        <v>0</v>
      </c>
      <c r="M96" s="151">
        <f>IF($A96&lt;$D$5+$D$4,0,IF(AND($A96&gt;=$D$5,$A96&lt;=INT($D$8)-1+$D$4),LOOKUP($A96,Retraite!$A$7:$A$47,Retraite!$Q$7:$Q$47)/LOOKUP($A96,Barèmes!$A$65:$A$148,Barèmes!$C$65:$C$148),IF($A96=INT($D$8+$D$4),(LOOKUP($A96,Retraite!$A$7:$A$47,Retraite!$Q$7:$Q$47)/LOOKUP($A96,Barèmes!$A$65:$A$148,Barèmes!$C$65:$C$148))*(1-(INT($D$8)+1-$D$8)),0)))</f>
        <v>0</v>
      </c>
      <c r="N96" s="121">
        <f>IF($A96&lt;$D$5+$D$4,(LOOKUP($A96,Cot_droits!$A$17:$A$68,Cot_droits!$I$17:$I$68)+LOOKUP($A96,Cot_droits!$A$17:$A$68,Cot_droits!$J$17:$J$68)+LOOKUP($A96,Cot_droits!$A$17:$A$68,Cot_droits!$N$17:$N$68))/LOOKUP($A96,Barèmes!$A$65:$A$148,Barèmes!$C$65:$C$148),0)</f>
        <v>0</v>
      </c>
      <c r="O96" s="115"/>
    </row>
    <row r="97" spans="1:15" s="43" customFormat="1" ht="15.75" customHeight="1" x14ac:dyDescent="0.25">
      <c r="A97" s="148">
        <f>TRI_prix!A91</f>
        <v>2096</v>
      </c>
      <c r="B97" s="121">
        <f>Cot_droits!C96/LOOKUP($A97,Barèmes!$A$65:$A$148,Barèmes!$C$65:$C$148)</f>
        <v>0</v>
      </c>
      <c r="C97" s="135"/>
      <c r="D97" s="131">
        <f>IF($A97&lt;$D$5+$D$4,0,IF(AND($A97&gt;=$D$5,$A97&lt;=INT($D$8)-1+$D$4),LOOKUP($A97,Retraite!$A$7:$A$47,Retraite!$K$7:$K$47)/LOOKUP($A97,Barèmes!$A$65:$A$148,Barèmes!$C$65:$C$148),IF($A97=INT($D$8+$D$4),(LOOKUP($A97,Retraite!$A$7:$A$47,Retraite!$K$7:$K$47)/LOOKUP($A97,Barèmes!$A$65:$A$148,Barèmes!$C$65:$C$148))*(1-(INT($D$8)+1-$D$8)),0)))</f>
        <v>0</v>
      </c>
      <c r="E97" s="151">
        <f>IF($A97&lt;$D$5+$D$4,0,IF(AND($A97&gt;=$D$5,$A97&lt;=INT($D$8)-1+$D$4),LOOKUP($A97,Retraite!$A$7:$A$47,Retraite!$N$7:$N$47)/LOOKUP($A97,Barèmes!$A$65:$A$148,Barèmes!$C$65:$C$148),IF($A97=INT($D$8+$D$4),(LOOKUP($A97,Retraite!$A$7:$A$47,Retraite!$N$7:$N$47)/LOOKUP($A97,Barèmes!$A$65:$A$148,Barèmes!$C$65:$C$148))*(1-(INT($D$8)+1-$D$8)),0)))</f>
        <v>0</v>
      </c>
      <c r="F97" s="121">
        <f>IF($A97&lt;$D$5+$D$4,LOOKUP($A97,Cot_droits!$A$17:$A$68,Cot_droits!$Q$17:$Q$68)/LOOKUP($A97,Barèmes!$A$65:$A$148,Barèmes!$C$65:$C$148),0)</f>
        <v>0</v>
      </c>
      <c r="G97" s="115"/>
      <c r="H97" s="131">
        <f>IF($A97&lt;$D$5+$D$4,0,IF(AND($A97&gt;=$D$5,$A97&lt;=INT($D$8)-1+$D$4),LOOKUP($A97,Retraite!$A$7:$A$47,Retraite!$L$7:$L$47)/LOOKUP($A97,Barèmes!$A$65:$A$148,Barèmes!$C$65:$C$148),IF($A97=INT($D$8+$D$4),(LOOKUP($A97,Retraite!$A$7:$A$47,Retraite!$L$7:$L$47)/LOOKUP($A97,Barèmes!$A$65:$A$148,Barèmes!$C$65:$C$148))*(1-(INT($D$8)+1-$D$8)),0)))</f>
        <v>0</v>
      </c>
      <c r="I97" s="151">
        <f>IF($A97&lt;$D$5+$D$4,0,IF(AND($A97&gt;=$D$5,$A97&lt;=INT($D$8)-1+$D$4),LOOKUP($A97,Retraite!$A$7:$A$47,Retraite!$P$7:$P$47)/LOOKUP($A97,Barèmes!$A$65:$A$148,Barèmes!$C$65:$C$148),IF($A97=INT($D$8+$D$4),(LOOKUP($A97,Retraite!$A$7:$A$47,Retraite!$P$7:$P$47)/LOOKUP($A97,Barèmes!$A$65:$A$148,Barèmes!$C$65:$C$148))*(1-(INT($D$8)+1-$D$8)),0)))</f>
        <v>0</v>
      </c>
      <c r="J97" s="121">
        <f>IF($A97&lt;$D$5+$D$4,(LOOKUP($A97,Cot_droits!$A$17:$A$68,Cot_droits!$H$17:$H$68)+LOOKUP($A97,Cot_droits!$A$17:$A$68,Cot_droits!$L$17:$L$68))/LOOKUP($A97,Barèmes!$A$65:$A$148,Barèmes!$C$65:$C$148),0)</f>
        <v>0</v>
      </c>
      <c r="L97" s="131">
        <f>IF($A97&lt;$D$5+$D$4,0,IF(AND($A97&gt;=$D$5,$A97&lt;=INT($D$8)-1+$D$4),LOOKUP($A97,Retraite!$A$7:$A$47,Retraite!$M$7:$M$47)/LOOKUP($A97,Barèmes!$A$65:$A$148,Barèmes!$C$65:$C$148),IF($A97=INT($D$8+$D$4),(LOOKUP($A97,Retraite!$A$7:$A$47,Retraite!$M$7:$M$47)/LOOKUP($A97,Barèmes!$A$65:$A$148,Barèmes!$C$65:$C$148))*(1-(INT($D$8)+1-$D$8)),0)))</f>
        <v>0</v>
      </c>
      <c r="M97" s="151">
        <f>IF($A97&lt;$D$5+$D$4,0,IF(AND($A97&gt;=$D$5,$A97&lt;=INT($D$8)-1+$D$4),LOOKUP($A97,Retraite!$A$7:$A$47,Retraite!$Q$7:$Q$47)/LOOKUP($A97,Barèmes!$A$65:$A$148,Barèmes!$C$65:$C$148),IF($A97=INT($D$8+$D$4),(LOOKUP($A97,Retraite!$A$7:$A$47,Retraite!$Q$7:$Q$47)/LOOKUP($A97,Barèmes!$A$65:$A$148,Barèmes!$C$65:$C$148))*(1-(INT($D$8)+1-$D$8)),0)))</f>
        <v>0</v>
      </c>
      <c r="N97" s="121">
        <f>IF($A97&lt;$D$5+$D$4,(LOOKUP($A97,Cot_droits!$A$17:$A$68,Cot_droits!$I$17:$I$68)+LOOKUP($A97,Cot_droits!$A$17:$A$68,Cot_droits!$J$17:$J$68)+LOOKUP($A97,Cot_droits!$A$17:$A$68,Cot_droits!$N$17:$N$68))/LOOKUP($A97,Barèmes!$A$65:$A$148,Barèmes!$C$65:$C$148),0)</f>
        <v>0</v>
      </c>
      <c r="O97" s="115"/>
    </row>
    <row r="98" spans="1:15" s="43" customFormat="1" ht="15.75" customHeight="1" x14ac:dyDescent="0.25">
      <c r="A98" s="148">
        <f>TRI_prix!A92</f>
        <v>2097</v>
      </c>
      <c r="B98" s="121">
        <f>Cot_droits!C97/LOOKUP($A98,Barèmes!$A$65:$A$148,Barèmes!$C$65:$C$148)</f>
        <v>0</v>
      </c>
      <c r="C98" s="135"/>
      <c r="D98" s="131">
        <f>IF($A98&lt;$D$5+$D$4,0,IF(AND($A98&gt;=$D$5,$A98&lt;=INT($D$8)-1+$D$4),LOOKUP($A98,Retraite!$A$7:$A$47,Retraite!$K$7:$K$47)/LOOKUP($A98,Barèmes!$A$65:$A$148,Barèmes!$C$65:$C$148),IF($A98=INT($D$8+$D$4),(LOOKUP($A98,Retraite!$A$7:$A$47,Retraite!$K$7:$K$47)/LOOKUP($A98,Barèmes!$A$65:$A$148,Barèmes!$C$65:$C$148))*(1-(INT($D$8)+1-$D$8)),0)))</f>
        <v>0</v>
      </c>
      <c r="E98" s="151">
        <f>IF($A98&lt;$D$5+$D$4,0,IF(AND($A98&gt;=$D$5,$A98&lt;=INT($D$8)-1+$D$4),LOOKUP($A98,Retraite!$A$7:$A$47,Retraite!$N$7:$N$47)/LOOKUP($A98,Barèmes!$A$65:$A$148,Barèmes!$C$65:$C$148),IF($A98=INT($D$8+$D$4),(LOOKUP($A98,Retraite!$A$7:$A$47,Retraite!$N$7:$N$47)/LOOKUP($A98,Barèmes!$A$65:$A$148,Barèmes!$C$65:$C$148))*(1-(INT($D$8)+1-$D$8)),0)))</f>
        <v>0</v>
      </c>
      <c r="F98" s="121">
        <f>IF($A98&lt;$D$5+$D$4,LOOKUP($A98,Cot_droits!$A$17:$A$68,Cot_droits!$Q$17:$Q$68)/LOOKUP($A98,Barèmes!$A$65:$A$148,Barèmes!$C$65:$C$148),0)</f>
        <v>0</v>
      </c>
      <c r="G98" s="115"/>
      <c r="H98" s="131">
        <f>IF($A98&lt;$D$5+$D$4,0,IF(AND($A98&gt;=$D$5,$A98&lt;=INT($D$8)-1+$D$4),LOOKUP($A98,Retraite!$A$7:$A$47,Retraite!$L$7:$L$47)/LOOKUP($A98,Barèmes!$A$65:$A$148,Barèmes!$C$65:$C$148),IF($A98=INT($D$8+$D$4),(LOOKUP($A98,Retraite!$A$7:$A$47,Retraite!$L$7:$L$47)/LOOKUP($A98,Barèmes!$A$65:$A$148,Barèmes!$C$65:$C$148))*(1-(INT($D$8)+1-$D$8)),0)))</f>
        <v>0</v>
      </c>
      <c r="I98" s="151">
        <f>IF($A98&lt;$D$5+$D$4,0,IF(AND($A98&gt;=$D$5,$A98&lt;=INT($D$8)-1+$D$4),LOOKUP($A98,Retraite!$A$7:$A$47,Retraite!$P$7:$P$47)/LOOKUP($A98,Barèmes!$A$65:$A$148,Barèmes!$C$65:$C$148),IF($A98=INT($D$8+$D$4),(LOOKUP($A98,Retraite!$A$7:$A$47,Retraite!$P$7:$P$47)/LOOKUP($A98,Barèmes!$A$65:$A$148,Barèmes!$C$65:$C$148))*(1-(INT($D$8)+1-$D$8)),0)))</f>
        <v>0</v>
      </c>
      <c r="J98" s="121">
        <f>IF($A98&lt;$D$5+$D$4,(LOOKUP($A98,Cot_droits!$A$17:$A$68,Cot_droits!$H$17:$H$68)+LOOKUP($A98,Cot_droits!$A$17:$A$68,Cot_droits!$L$17:$L$68))/LOOKUP($A98,Barèmes!$A$65:$A$148,Barèmes!$C$65:$C$148),0)</f>
        <v>0</v>
      </c>
      <c r="L98" s="131">
        <f>IF($A98&lt;$D$5+$D$4,0,IF(AND($A98&gt;=$D$5,$A98&lt;=INT($D$8)-1+$D$4),LOOKUP($A98,Retraite!$A$7:$A$47,Retraite!$M$7:$M$47)/LOOKUP($A98,Barèmes!$A$65:$A$148,Barèmes!$C$65:$C$148),IF($A98=INT($D$8+$D$4),(LOOKUP($A98,Retraite!$A$7:$A$47,Retraite!$M$7:$M$47)/LOOKUP($A98,Barèmes!$A$65:$A$148,Barèmes!$C$65:$C$148))*(1-(INT($D$8)+1-$D$8)),0)))</f>
        <v>0</v>
      </c>
      <c r="M98" s="151">
        <f>IF($A98&lt;$D$5+$D$4,0,IF(AND($A98&gt;=$D$5,$A98&lt;=INT($D$8)-1+$D$4),LOOKUP($A98,Retraite!$A$7:$A$47,Retraite!$Q$7:$Q$47)/LOOKUP($A98,Barèmes!$A$65:$A$148,Barèmes!$C$65:$C$148),IF($A98=INT($D$8+$D$4),(LOOKUP($A98,Retraite!$A$7:$A$47,Retraite!$Q$7:$Q$47)/LOOKUP($A98,Barèmes!$A$65:$A$148,Barèmes!$C$65:$C$148))*(1-(INT($D$8)+1-$D$8)),0)))</f>
        <v>0</v>
      </c>
      <c r="N98" s="121">
        <f>IF($A98&lt;$D$5+$D$4,(LOOKUP($A98,Cot_droits!$A$17:$A$68,Cot_droits!$I$17:$I$68)+LOOKUP($A98,Cot_droits!$A$17:$A$68,Cot_droits!$J$17:$J$68)+LOOKUP($A98,Cot_droits!$A$17:$A$68,Cot_droits!$N$17:$N$68))/LOOKUP($A98,Barèmes!$A$65:$A$148,Barèmes!$C$65:$C$148),0)</f>
        <v>0</v>
      </c>
      <c r="O98" s="115"/>
    </row>
    <row r="99" spans="1:15" s="43" customFormat="1" ht="15.75" customHeight="1" x14ac:dyDescent="0.25">
      <c r="A99" s="148">
        <f>TRI_prix!A93</f>
        <v>2098</v>
      </c>
      <c r="B99" s="121">
        <f>Cot_droits!C98/LOOKUP($A99,Barèmes!$A$65:$A$148,Barèmes!$C$65:$C$148)</f>
        <v>0</v>
      </c>
      <c r="C99" s="135"/>
      <c r="D99" s="131">
        <f>IF($A99&lt;$D$5+$D$4,0,IF(AND($A99&gt;=$D$5,$A99&lt;=INT($D$8)-1+$D$4),LOOKUP($A99,Retraite!$A$7:$A$47,Retraite!$K$7:$K$47)/LOOKUP($A99,Barèmes!$A$65:$A$148,Barèmes!$C$65:$C$148),IF($A99=INT($D$8+$D$4),(LOOKUP($A99,Retraite!$A$7:$A$47,Retraite!$K$7:$K$47)/LOOKUP($A99,Barèmes!$A$65:$A$148,Barèmes!$C$65:$C$148))*(1-(INT($D$8)+1-$D$8)),0)))</f>
        <v>0</v>
      </c>
      <c r="E99" s="151">
        <f>IF($A99&lt;$D$5+$D$4,0,IF(AND($A99&gt;=$D$5,$A99&lt;=INT($D$8)-1+$D$4),LOOKUP($A99,Retraite!$A$7:$A$47,Retraite!$N$7:$N$47)/LOOKUP($A99,Barèmes!$A$65:$A$148,Barèmes!$C$65:$C$148),IF($A99=INT($D$8+$D$4),(LOOKUP($A99,Retraite!$A$7:$A$47,Retraite!$N$7:$N$47)/LOOKUP($A99,Barèmes!$A$65:$A$148,Barèmes!$C$65:$C$148))*(1-(INT($D$8)+1-$D$8)),0)))</f>
        <v>0</v>
      </c>
      <c r="F99" s="121">
        <f>IF($A99&lt;$D$5+$D$4,LOOKUP($A99,Cot_droits!$A$17:$A$68,Cot_droits!$Q$17:$Q$68)/LOOKUP($A99,Barèmes!$A$65:$A$148,Barèmes!$C$65:$C$148),0)</f>
        <v>0</v>
      </c>
      <c r="G99" s="115"/>
      <c r="H99" s="131">
        <f>IF($A99&lt;$D$5+$D$4,0,IF(AND($A99&gt;=$D$5,$A99&lt;=INT($D$8)-1+$D$4),LOOKUP($A99,Retraite!$A$7:$A$47,Retraite!$L$7:$L$47)/LOOKUP($A99,Barèmes!$A$65:$A$148,Barèmes!$C$65:$C$148),IF($A99=INT($D$8+$D$4),(LOOKUP($A99,Retraite!$A$7:$A$47,Retraite!$L$7:$L$47)/LOOKUP($A99,Barèmes!$A$65:$A$148,Barèmes!$C$65:$C$148))*(1-(INT($D$8)+1-$D$8)),0)))</f>
        <v>0</v>
      </c>
      <c r="I99" s="151">
        <f>IF($A99&lt;$D$5+$D$4,0,IF(AND($A99&gt;=$D$5,$A99&lt;=INT($D$8)-1+$D$4),LOOKUP($A99,Retraite!$A$7:$A$47,Retraite!$P$7:$P$47)/LOOKUP($A99,Barèmes!$A$65:$A$148,Barèmes!$C$65:$C$148),IF($A99=INT($D$8+$D$4),(LOOKUP($A99,Retraite!$A$7:$A$47,Retraite!$P$7:$P$47)/LOOKUP($A99,Barèmes!$A$65:$A$148,Barèmes!$C$65:$C$148))*(1-(INT($D$8)+1-$D$8)),0)))</f>
        <v>0</v>
      </c>
      <c r="J99" s="121">
        <f>IF($A99&lt;$D$5+$D$4,(LOOKUP($A99,Cot_droits!$A$17:$A$68,Cot_droits!$H$17:$H$68)+LOOKUP($A99,Cot_droits!$A$17:$A$68,Cot_droits!$L$17:$L$68))/LOOKUP($A99,Barèmes!$A$65:$A$148,Barèmes!$C$65:$C$148),0)</f>
        <v>0</v>
      </c>
      <c r="L99" s="131">
        <f>IF($A99&lt;$D$5+$D$4,0,IF(AND($A99&gt;=$D$5,$A99&lt;=INT($D$8)-1+$D$4),LOOKUP($A99,Retraite!$A$7:$A$47,Retraite!$M$7:$M$47)/LOOKUP($A99,Barèmes!$A$65:$A$148,Barèmes!$C$65:$C$148),IF($A99=INT($D$8+$D$4),(LOOKUP($A99,Retraite!$A$7:$A$47,Retraite!$M$7:$M$47)/LOOKUP($A99,Barèmes!$A$65:$A$148,Barèmes!$C$65:$C$148))*(1-(INT($D$8)+1-$D$8)),0)))</f>
        <v>0</v>
      </c>
      <c r="M99" s="151">
        <f>IF($A99&lt;$D$5+$D$4,0,IF(AND($A99&gt;=$D$5,$A99&lt;=INT($D$8)-1+$D$4),LOOKUP($A99,Retraite!$A$7:$A$47,Retraite!$Q$7:$Q$47)/LOOKUP($A99,Barèmes!$A$65:$A$148,Barèmes!$C$65:$C$148),IF($A99=INT($D$8+$D$4),(LOOKUP($A99,Retraite!$A$7:$A$47,Retraite!$Q$7:$Q$47)/LOOKUP($A99,Barèmes!$A$65:$A$148,Barèmes!$C$65:$C$148))*(1-(INT($D$8)+1-$D$8)),0)))</f>
        <v>0</v>
      </c>
      <c r="N99" s="121">
        <f>IF($A99&lt;$D$5+$D$4,(LOOKUP($A99,Cot_droits!$A$17:$A$68,Cot_droits!$I$17:$I$68)+LOOKUP($A99,Cot_droits!$A$17:$A$68,Cot_droits!$J$17:$J$68)+LOOKUP($A99,Cot_droits!$A$17:$A$68,Cot_droits!$N$17:$N$68))/LOOKUP($A99,Barèmes!$A$65:$A$148,Barèmes!$C$65:$C$148),0)</f>
        <v>0</v>
      </c>
      <c r="O99" s="115"/>
    </row>
    <row r="100" spans="1:15" s="43" customFormat="1" ht="15.75" customHeight="1" x14ac:dyDescent="0.25">
      <c r="A100" s="148">
        <f>TRI_prix!A94</f>
        <v>2099</v>
      </c>
      <c r="B100" s="121">
        <f>Cot_droits!C99/LOOKUP($A100,Barèmes!$A$65:$A$148,Barèmes!$C$65:$C$148)</f>
        <v>0</v>
      </c>
      <c r="C100" s="135"/>
      <c r="D100" s="131">
        <f>IF($A100&lt;$D$5+$D$4,0,IF(AND($A100&gt;=$D$5,$A100&lt;=INT($D$8)-1+$D$4),LOOKUP($A100,Retraite!$A$7:$A$47,Retraite!$K$7:$K$47)/LOOKUP($A100,Barèmes!$A$65:$A$148,Barèmes!$C$65:$C$148),IF($A100=INT($D$8+$D$4),(LOOKUP($A100,Retraite!$A$7:$A$47,Retraite!$K$7:$K$47)/LOOKUP($A100,Barèmes!$A$65:$A$148,Barèmes!$C$65:$C$148))*(1-(INT($D$8)+1-$D$8)),0)))</f>
        <v>0</v>
      </c>
      <c r="E100" s="151">
        <f>IF($A100&lt;$D$5+$D$4,0,IF(AND($A100&gt;=$D$5,$A100&lt;=INT($D$8)-1+$D$4),LOOKUP($A100,Retraite!$A$7:$A$47,Retraite!$N$7:$N$47)/LOOKUP($A100,Barèmes!$A$65:$A$148,Barèmes!$C$65:$C$148),IF($A100=INT($D$8+$D$4),(LOOKUP($A100,Retraite!$A$7:$A$47,Retraite!$N$7:$N$47)/LOOKUP($A100,Barèmes!$A$65:$A$148,Barèmes!$C$65:$C$148))*(1-(INT($D$8)+1-$D$8)),0)))</f>
        <v>0</v>
      </c>
      <c r="F100" s="121">
        <f>IF($A100&lt;$D$5+$D$4,LOOKUP($A100,Cot_droits!$A$17:$A$68,Cot_droits!$Q$17:$Q$68)/LOOKUP($A100,Barèmes!$A$65:$A$148,Barèmes!$C$65:$C$148),0)</f>
        <v>0</v>
      </c>
      <c r="G100" s="115"/>
      <c r="H100" s="131">
        <f>IF($A100&lt;$D$5+$D$4,0,IF(AND($A100&gt;=$D$5,$A100&lt;=INT($D$8)-1+$D$4),LOOKUP($A100,Retraite!$A$7:$A$47,Retraite!$L$7:$L$47)/LOOKUP($A100,Barèmes!$A$65:$A$148,Barèmes!$C$65:$C$148),IF($A100=INT($D$8+$D$4),(LOOKUP($A100,Retraite!$A$7:$A$47,Retraite!$L$7:$L$47)/LOOKUP($A100,Barèmes!$A$65:$A$148,Barèmes!$C$65:$C$148))*(1-(INT($D$8)+1-$D$8)),0)))</f>
        <v>0</v>
      </c>
      <c r="I100" s="151">
        <f>IF($A100&lt;$D$5+$D$4,0,IF(AND($A100&gt;=$D$5,$A100&lt;=INT($D$8)-1+$D$4),LOOKUP($A100,Retraite!$A$7:$A$47,Retraite!$P$7:$P$47)/LOOKUP($A100,Barèmes!$A$65:$A$148,Barèmes!$C$65:$C$148),IF($A100=INT($D$8+$D$4),(LOOKUP($A100,Retraite!$A$7:$A$47,Retraite!$P$7:$P$47)/LOOKUP($A100,Barèmes!$A$65:$A$148,Barèmes!$C$65:$C$148))*(1-(INT($D$8)+1-$D$8)),0)))</f>
        <v>0</v>
      </c>
      <c r="J100" s="121">
        <f>IF($A100&lt;$D$5+$D$4,(LOOKUP($A100,Cot_droits!$A$17:$A$68,Cot_droits!$H$17:$H$68)+LOOKUP($A100,Cot_droits!$A$17:$A$68,Cot_droits!$L$17:$L$68))/LOOKUP($A100,Barèmes!$A$65:$A$148,Barèmes!$C$65:$C$148),0)</f>
        <v>0</v>
      </c>
      <c r="L100" s="131">
        <f>IF($A100&lt;$D$5+$D$4,0,IF(AND($A100&gt;=$D$5,$A100&lt;=INT($D$8)-1+$D$4),LOOKUP($A100,Retraite!$A$7:$A$47,Retraite!$M$7:$M$47)/LOOKUP($A100,Barèmes!$A$65:$A$148,Barèmes!$C$65:$C$148),IF($A100=INT($D$8+$D$4),(LOOKUP($A100,Retraite!$A$7:$A$47,Retraite!$M$7:$M$47)/LOOKUP($A100,Barèmes!$A$65:$A$148,Barèmes!$C$65:$C$148))*(1-(INT($D$8)+1-$D$8)),0)))</f>
        <v>0</v>
      </c>
      <c r="M100" s="151">
        <f>IF($A100&lt;$D$5+$D$4,0,IF(AND($A100&gt;=$D$5,$A100&lt;=INT($D$8)-1+$D$4),LOOKUP($A100,Retraite!$A$7:$A$47,Retraite!$Q$7:$Q$47)/LOOKUP($A100,Barèmes!$A$65:$A$148,Barèmes!$C$65:$C$148),IF($A100=INT($D$8+$D$4),(LOOKUP($A100,Retraite!$A$7:$A$47,Retraite!$Q$7:$Q$47)/LOOKUP($A100,Barèmes!$A$65:$A$148,Barèmes!$C$65:$C$148))*(1-(INT($D$8)+1-$D$8)),0)))</f>
        <v>0</v>
      </c>
      <c r="N100" s="121">
        <f>IF($A100&lt;$D$5+$D$4,(LOOKUP($A100,Cot_droits!$A$17:$A$68,Cot_droits!$I$17:$I$68)+LOOKUP($A100,Cot_droits!$A$17:$A$68,Cot_droits!$J$17:$J$68)+LOOKUP($A100,Cot_droits!$A$17:$A$68,Cot_droits!$N$17:$N$68))/LOOKUP($A100,Barèmes!$A$65:$A$148,Barèmes!$C$65:$C$148),0)</f>
        <v>0</v>
      </c>
      <c r="O100" s="115"/>
    </row>
    <row r="101" spans="1:15" s="43" customFormat="1" ht="15.75" customHeight="1" thickBot="1" x14ac:dyDescent="0.3">
      <c r="A101" s="149">
        <f>TRI_prix!A95</f>
        <v>2100</v>
      </c>
      <c r="B101" s="123">
        <f>Cot_droits!C100/LOOKUP($A101,Barèmes!$A$65:$A$148,Barèmes!$C$65:$C$148)</f>
        <v>0</v>
      </c>
      <c r="C101" s="135"/>
      <c r="D101" s="132">
        <f>IF($A101&lt;$D$5+$D$4,0,IF(AND($A101&gt;=$D$5,$A101&lt;=INT($D$8)-1+$D$4),LOOKUP($A101,Retraite!$A$7:$A$47,Retraite!$K$7:$K$47)/LOOKUP($A101,Barèmes!$A$65:$A$148,Barèmes!$C$65:$C$148),IF($A101=INT($D$8+$D$4),(LOOKUP($A101,Retraite!$A$7:$A$47,Retraite!$K$7:$K$47)/LOOKUP($A101,Barèmes!$A$65:$A$148,Barèmes!$C$65:$C$148))*(1-(INT($D$8)+1-$D$8)),0)))</f>
        <v>0</v>
      </c>
      <c r="E101" s="152">
        <f>IF($A101&lt;$D$5+$D$4,0,IF(AND($A101&gt;=$D$5,$A101&lt;=INT($D$8)-1+$D$4),LOOKUP($A101,Retraite!$A$7:$A$47,Retraite!$N$7:$N$47)/LOOKUP($A101,Barèmes!$A$65:$A$148,Barèmes!$C$65:$C$148),IF($A101=INT($D$8+$D$4),(LOOKUP($A101,Retraite!$A$7:$A$47,Retraite!$N$7:$N$47)/LOOKUP($A101,Barèmes!$A$65:$A$148,Barèmes!$C$65:$C$148))*(1-(INT($D$8)+1-$D$8)),0)))</f>
        <v>0</v>
      </c>
      <c r="F101" s="123">
        <f>IF($A101&lt;$D$5+$D$4,LOOKUP($A101,Cot_droits!$A$17:$A$68,Cot_droits!$Q$17:$Q$68)/LOOKUP($A101,Barèmes!$A$65:$A$148,Barèmes!$C$65:$C$148),0)</f>
        <v>0</v>
      </c>
      <c r="G101" s="115"/>
      <c r="H101" s="132">
        <f>IF($A101&lt;$D$5+$D$4,0,IF(AND($A101&gt;=$D$5,$A101&lt;=INT($D$8)-1+$D$4),LOOKUP($A101,Retraite!$A$7:$A$47,Retraite!$L$7:$L$47)/LOOKUP($A101,Barèmes!$A$65:$A$148,Barèmes!$C$65:$C$148),IF($A101=INT($D$8+$D$4),(LOOKUP($A101,Retraite!$A$7:$A$47,Retraite!$L$7:$L$47)/LOOKUP($A101,Barèmes!$A$65:$A$148,Barèmes!$C$65:$C$148))*(1-(INT($D$8)+1-$D$8)),0)))</f>
        <v>0</v>
      </c>
      <c r="I101" s="152">
        <f>IF($A101&lt;$D$5+$D$4,0,IF(AND($A101&gt;=$D$5,$A101&lt;=INT($D$8)-1+$D$4),LOOKUP($A101,Retraite!$A$7:$A$47,Retraite!$P$7:$P$47)/LOOKUP($A101,Barèmes!$A$65:$A$148,Barèmes!$C$65:$C$148),IF($A101=INT($D$8+$D$4),(LOOKUP($A101,Retraite!$A$7:$A$47,Retraite!$P$7:$P$47)/LOOKUP($A101,Barèmes!$A$65:$A$148,Barèmes!$C$65:$C$148))*(1-(INT($D$8)+1-$D$8)),0)))</f>
        <v>0</v>
      </c>
      <c r="J101" s="123">
        <f>IF($A101&lt;$D$5+$D$4,(LOOKUP($A101,Cot_droits!$A$17:$A$68,Cot_droits!$H$17:$H$68)+LOOKUP($A101,Cot_droits!$A$17:$A$68,Cot_droits!$L$17:$L$68))/LOOKUP($A101,Barèmes!$A$65:$A$148,Barèmes!$C$65:$C$148),0)</f>
        <v>0</v>
      </c>
      <c r="L101" s="132">
        <f>IF($A101&lt;$D$5+$D$4,0,IF(AND($A101&gt;=$D$5,$A101&lt;=INT($D$8)-1+$D$4),LOOKUP($A101,Retraite!$A$7:$A$47,Retraite!$M$7:$M$47)/LOOKUP($A101,Barèmes!$A$65:$A$148,Barèmes!$C$65:$C$148),IF($A101=INT($D$8+$D$4),(LOOKUP($A101,Retraite!$A$7:$A$47,Retraite!$M$7:$M$47)/LOOKUP($A101,Barèmes!$A$65:$A$148,Barèmes!$C$65:$C$148))*(1-(INT($D$8)+1-$D$8)),0)))</f>
        <v>0</v>
      </c>
      <c r="M101" s="152">
        <f>IF($A101&lt;$D$5+$D$4,0,IF(AND($A101&gt;=$D$5,$A101&lt;=INT($D$8)-1+$D$4),LOOKUP($A101,Retraite!$A$7:$A$47,Retraite!$Q$7:$Q$47)/LOOKUP($A101,Barèmes!$A$65:$A$148,Barèmes!$C$65:$C$148),IF($A101=INT($D$8+$D$4),(LOOKUP($A101,Retraite!$A$7:$A$47,Retraite!$Q$7:$Q$47)/LOOKUP($A101,Barèmes!$A$65:$A$148,Barèmes!$C$65:$C$148))*(1-(INT($D$8)+1-$D$8)),0)))</f>
        <v>0</v>
      </c>
      <c r="N101" s="123">
        <f>IF($A101&lt;$D$5+$D$4,(LOOKUP($A101,Cot_droits!$A$17:$A$68,Cot_droits!$I$17:$I$68)+LOOKUP($A101,Cot_droits!$A$17:$A$68,Cot_droits!$J$17:$J$68)+LOOKUP($A101,Cot_droits!$A$17:$A$68,Cot_droits!$N$17:$N$68))/LOOKUP($A101,Barèmes!$A$65:$A$148,Barèmes!$C$65:$C$148),0)</f>
        <v>0</v>
      </c>
      <c r="O101" s="115"/>
    </row>
    <row r="102" spans="1:15" s="43" customFormat="1" ht="15.75" customHeight="1" x14ac:dyDescent="0.25">
      <c r="A102" s="4"/>
      <c r="B102" s="4"/>
      <c r="C102" s="135"/>
    </row>
    <row r="103" spans="1:15" s="43" customFormat="1" ht="15.75" customHeight="1" x14ac:dyDescent="0.25">
      <c r="A103" s="4"/>
      <c r="B103" s="4"/>
      <c r="C103" s="135"/>
    </row>
  </sheetData>
  <mergeCells count="19">
    <mergeCell ref="D5:F5"/>
    <mergeCell ref="H5:J5"/>
    <mergeCell ref="L5:N5"/>
    <mergeCell ref="D6:F6"/>
    <mergeCell ref="H6:J6"/>
    <mergeCell ref="L6:N6"/>
    <mergeCell ref="D2:F2"/>
    <mergeCell ref="H2:J2"/>
    <mergeCell ref="L2:N2"/>
    <mergeCell ref="D4:F4"/>
    <mergeCell ref="H4:J4"/>
    <mergeCell ref="L4:N4"/>
    <mergeCell ref="L7:N7"/>
    <mergeCell ref="D8:F8"/>
    <mergeCell ref="H8:J8"/>
    <mergeCell ref="L8:N8"/>
    <mergeCell ref="D10:N10"/>
    <mergeCell ref="D7:F7"/>
    <mergeCell ref="H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Mode_d_emploi</vt:lpstr>
      <vt:lpstr>Simulation</vt:lpstr>
      <vt:lpstr>Résultats</vt:lpstr>
      <vt:lpstr>Salaires</vt:lpstr>
      <vt:lpstr>Cot_droits</vt:lpstr>
      <vt:lpstr>Retraite</vt:lpstr>
      <vt:lpstr>TRI_prix</vt:lpstr>
      <vt:lpstr>TRI_smpt</vt:lpstr>
      <vt:lpstr>TRecup_prix</vt:lpstr>
      <vt:lpstr>TRecup_smpt</vt:lpstr>
      <vt:lpstr>Coef_AA</vt:lpstr>
      <vt:lpstr>Info_cas_type</vt:lpstr>
      <vt:lpstr>Barèmes</vt:lpstr>
      <vt:lpstr>EV</vt:lpstr>
      <vt:lpstr>Décote_RC</vt:lpstr>
      <vt:lpstr>Revalo_RB</vt:lpstr>
      <vt:lpstr>Minima</vt:lpstr>
      <vt:lpstr>Sal_valid</vt:lpstr>
      <vt:lpstr>Smic_AVPF</vt:lpstr>
      <vt:lpstr>AGIRC-ARRCO</vt:lpstr>
      <vt:lpstr>SMPT</vt:lpstr>
      <vt:lpstr>SMIC</vt:lpstr>
      <vt:lpstr>PSS</vt:lpstr>
      <vt:lpstr>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2021-12-10T15:51:19Z</dcterms:modified>
</cp:coreProperties>
</file>